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930" windowWidth="12465" windowHeight="9120" tabRatio="500" firstSheet="5" activeTab="5"/>
  </bookViews>
  <sheets>
    <sheet name="ocs합잔" sheetId="1" state="hidden" r:id="rId1"/>
    <sheet name="시산표(현금유출입)" sheetId="2" state="hidden" r:id="rId2"/>
    <sheet name="부속tb" sheetId="3" state="hidden" r:id="rId3"/>
    <sheet name="부속bs" sheetId="4" state="hidden" r:id="rId4"/>
    <sheet name="부속is" sheetId="5" state="hidden" r:id="rId5"/>
    <sheet name="사학bs" sheetId="6" r:id="rId6"/>
    <sheet name="사학운영" sheetId="7" r:id="rId7"/>
    <sheet name="사학자금(수입)" sheetId="8" r:id="rId8"/>
    <sheet name="사학자금(지출)" sheetId="9" r:id="rId9"/>
    <sheet name="총괄표(보고)" sheetId="10" state="hidden" r:id="rId10"/>
    <sheet name="Sheet16" sheetId="11" state="hidden" r:id="rId11"/>
  </sheets>
  <externalReferences>
    <externalReference r:id="rId14"/>
  </externalReferences>
  <definedNames>
    <definedName name="iv" localSheetId="7">'[1]교비지출'!#REF!</definedName>
    <definedName name="iv" localSheetId="8">'[1]교비지출'!#REF!</definedName>
    <definedName name="iv">'[1]교비지출'!#REF!</definedName>
    <definedName name="_xlnm.Print_Area" localSheetId="3">'부속bs'!$A$1:$E$122</definedName>
    <definedName name="_xlnm.Print_Area" localSheetId="4">'부속is'!$A$1:$F$124</definedName>
    <definedName name="_xlnm.Print_Area" localSheetId="2">'부속tb'!$A$1:$E$178</definedName>
    <definedName name="_xlnm.Print_Area" localSheetId="5">'사학bs'!$A$1:$F$113</definedName>
    <definedName name="_xlnm.Print_Area" localSheetId="7">'사학자금(수입)'!$A$1:$E$69</definedName>
    <definedName name="_xlnm.Print_Area" localSheetId="8">'사학자금(지출)'!$A$1:$H$124</definedName>
    <definedName name="_xlnm.Print_Area" localSheetId="1">'시산표(현금유출입)'!$A$1:$J$182</definedName>
    <definedName name="_xlnm.Print_Area" localSheetId="9">'총괄표(보고)'!$A$1:$M$26</definedName>
    <definedName name="_xlnm.Print_Titles" localSheetId="3">'부속bs'!$7:$7</definedName>
    <definedName name="_xlnm.Print_Titles" localSheetId="4">'부속is'!$6:$6</definedName>
    <definedName name="_xlnm.Print_Titles" localSheetId="2">'부속tb'!$5:$5</definedName>
    <definedName name="_xlnm.Print_Titles" localSheetId="7">'사학자금(수입)'!$5:$6</definedName>
    <definedName name="_xlnm.Print_Titles" localSheetId="8">'사학자금(지출)'!$4:$5</definedName>
  </definedNames>
  <calcPr fullCalcOnLoad="1"/>
</workbook>
</file>

<file path=xl/comments2.xml><?xml version="1.0" encoding="utf-8"?>
<comments xmlns="http://schemas.openxmlformats.org/spreadsheetml/2006/main">
  <authors>
    <author>Korean</author>
    <author>eulji</author>
    <author>user</author>
  </authors>
  <commentList>
    <comment ref="H76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당년도 퇴직보험
배당금 611,488</t>
        </r>
      </text>
    </comment>
    <comment ref="H74" authorId="1">
      <text>
        <r>
          <rPr>
            <b/>
            <sz val="9"/>
            <rFont val="돋움"/>
            <family val="3"/>
          </rPr>
          <t xml:space="preserve">당기감가상각충당금설정액
</t>
        </r>
      </text>
    </comment>
    <comment ref="H45" authorId="1">
      <text>
        <r>
          <rPr>
            <sz val="9"/>
            <rFont val="돋움"/>
            <family val="3"/>
          </rPr>
          <t xml:space="preserve">매각장비감가상각충당금누계액
</t>
        </r>
      </text>
    </comment>
    <comment ref="A122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퇴직급여충당금</t>
        </r>
        <r>
          <rPr>
            <sz val="9"/>
            <rFont val="Tahoma"/>
            <family val="2"/>
          </rPr>
          <t xml:space="preserve">(3730)
</t>
        </r>
        <r>
          <rPr>
            <sz val="9"/>
            <rFont val="돋움"/>
            <family val="3"/>
          </rPr>
          <t>지출액</t>
        </r>
      </text>
    </comment>
    <comment ref="E146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부속</t>
        </r>
        <r>
          <rPr>
            <sz val="9"/>
            <rFont val="Tahoma"/>
            <family val="2"/>
          </rPr>
          <t xml:space="preserve">bs </t>
        </r>
        <r>
          <rPr>
            <sz val="9"/>
            <rFont val="돋움"/>
            <family val="3"/>
          </rPr>
          <t xml:space="preserve">대손충당금합계
</t>
        </r>
      </text>
    </comment>
    <comment ref="E15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시산표의대손충당금액
</t>
        </r>
      </text>
    </comment>
    <comment ref="E68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유가증권평가충당금</t>
        </r>
      </text>
    </comment>
    <comment ref="E168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유가증권평가손실
</t>
        </r>
      </text>
    </comment>
    <comment ref="E135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의료기기임차료포함
</t>
        </r>
      </text>
    </comment>
    <comment ref="E119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연구비
</t>
        </r>
      </text>
    </comment>
    <comment ref="E136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지급수수료</t>
        </r>
        <r>
          <rPr>
            <sz val="9"/>
            <rFont val="Tahoma"/>
            <family val="2"/>
          </rPr>
          <t xml:space="preserve"> + </t>
        </r>
        <r>
          <rPr>
            <sz val="9"/>
            <rFont val="돋움"/>
            <family val="3"/>
          </rPr>
          <t>카드수수료</t>
        </r>
        <r>
          <rPr>
            <sz val="9"/>
            <rFont val="Tahoma"/>
            <family val="2"/>
          </rPr>
          <t xml:space="preserve"> + </t>
        </r>
        <r>
          <rPr>
            <sz val="9"/>
            <rFont val="돋움"/>
            <family val="3"/>
          </rPr>
          <t xml:space="preserve">지로수수료
</t>
        </r>
      </text>
    </comment>
    <comment ref="F186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고유목적사업준비금
</t>
        </r>
      </text>
    </comment>
    <comment ref="E84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매도가능유가증권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분리
</t>
        </r>
      </text>
    </comment>
    <comment ref="E13" authorId="1">
      <text>
        <r>
          <rPr>
            <b/>
            <sz val="9"/>
            <rFont val="돋움"/>
            <family val="3"/>
          </rPr>
          <t>산업보건미수금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카드미수금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상품권미수금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 xml:space="preserve">외상매출금
</t>
        </r>
      </text>
    </comment>
    <comment ref="F68" authorId="2">
      <text>
        <r>
          <rPr>
            <b/>
            <sz val="9"/>
            <rFont val="돋움"/>
            <family val="3"/>
          </rPr>
          <t>직접삭제</t>
        </r>
      </text>
    </comment>
    <comment ref="D30" authorId="2">
      <text>
        <r>
          <rPr>
            <sz val="9"/>
            <rFont val="돋움"/>
            <family val="3"/>
          </rPr>
          <t>평가액직접입력</t>
        </r>
      </text>
    </comment>
    <comment ref="F168" authorId="2">
      <text>
        <r>
          <rPr>
            <b/>
            <sz val="9"/>
            <rFont val="돋움"/>
            <family val="3"/>
          </rPr>
          <t>직접입력
이분은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정말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이해가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안감</t>
        </r>
      </text>
    </comment>
  </commentList>
</comments>
</file>

<file path=xl/comments3.xml><?xml version="1.0" encoding="utf-8"?>
<comments xmlns="http://schemas.openxmlformats.org/spreadsheetml/2006/main">
  <authors>
    <author>eulji</author>
  </authors>
  <commentList>
    <comment ref="C14" authorId="0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기타미수금</t>
        </r>
      </text>
    </comment>
    <comment ref="C13" authorId="0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산업보건미수금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카드미수금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상품권미수금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외상매출금</t>
        </r>
      </text>
    </comment>
  </commentList>
</comments>
</file>

<file path=xl/comments4.xml><?xml version="1.0" encoding="utf-8"?>
<comments xmlns="http://schemas.openxmlformats.org/spreadsheetml/2006/main">
  <authors>
    <author>eulji</author>
  </authors>
  <commentList>
    <comment ref="B62" authorId="0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의료기기+리스자산
</t>
        </r>
      </text>
    </comment>
    <comment ref="D62" authorId="0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의료기기+리스자산
</t>
        </r>
      </text>
    </comment>
    <comment ref="B119" authorId="0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유가증권평가손실상계
</t>
        </r>
      </text>
    </comment>
    <comment ref="E129" authorId="0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연합뉴스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유가증권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평가손실</t>
        </r>
        <r>
          <rPr>
            <sz val="9"/>
            <rFont val="Tahoma"/>
            <family val="2"/>
          </rPr>
          <t>(31</t>
        </r>
        <r>
          <rPr>
            <sz val="9"/>
            <rFont val="돋움"/>
            <family val="3"/>
          </rPr>
          <t>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감액충당금과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미처리잉여금상계</t>
        </r>
        <r>
          <rPr>
            <sz val="9"/>
            <rFont val="Tahoma"/>
            <family val="2"/>
          </rPr>
          <t xml:space="preserve">)
</t>
        </r>
      </text>
    </comment>
    <comment ref="A23" authorId="0">
      <text>
        <r>
          <rPr>
            <b/>
            <sz val="9"/>
            <rFont val="돋움"/>
            <family val="3"/>
          </rPr>
          <t xml:space="preserve">기타미수금
</t>
        </r>
      </text>
    </comment>
    <comment ref="A21" authorId="0">
      <text>
        <r>
          <rPr>
            <b/>
            <sz val="9"/>
            <rFont val="돋움"/>
            <family val="3"/>
          </rPr>
          <t>산업보건미수금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카드미수금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상품권미수금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 xml:space="preserve">외상매출금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C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퇴직연금,퇴직보험
</t>
        </r>
      </text>
    </comment>
    <comment ref="C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전년도 이월에서 출연금 차변금액 차감
</t>
        </r>
      </text>
    </comment>
    <comment ref="C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직접입력
</t>
        </r>
      </text>
    </comment>
    <comment ref="C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직접입력
</t>
        </r>
      </text>
    </comment>
    <comment ref="C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직접입력
삼성증권도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평가금액을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반영해야한다함
</t>
        </r>
      </text>
    </comment>
  </commentList>
</comments>
</file>

<file path=xl/comments7.xml><?xml version="1.0" encoding="utf-8"?>
<comments xmlns="http://schemas.openxmlformats.org/spreadsheetml/2006/main">
  <authors>
    <author>Korean</author>
    <author>user</author>
  </authors>
  <commentList>
    <comment ref="C90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교육훈련비
130,622,200
연구비
265,170,420
</t>
        </r>
      </text>
    </comment>
    <comment ref="B5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의료소모품비는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진료재료비에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포함되어야함</t>
        </r>
        <r>
          <rPr>
            <sz val="9"/>
            <rFont val="Tahoma"/>
            <family val="2"/>
          </rPr>
          <t>.</t>
        </r>
      </text>
    </comment>
    <comment ref="C2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총액법엥서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순액법으로변경</t>
        </r>
      </text>
    </comment>
  </commentList>
</comments>
</file>

<file path=xl/comments8.xml><?xml version="1.0" encoding="utf-8"?>
<comments xmlns="http://schemas.openxmlformats.org/spreadsheetml/2006/main">
  <authors>
    <author>kyungli</author>
    <author>조칠래</author>
    <author>user</author>
  </authors>
  <commentList>
    <comment ref="D7" authorId="0">
      <text>
        <r>
          <rPr>
            <b/>
            <sz val="9"/>
            <rFont val="굴림"/>
            <family val="3"/>
          </rPr>
          <t xml:space="preserve">매출차감부분 반영하지 않음
</t>
        </r>
      </text>
    </comment>
    <comment ref="D26" authorId="0">
      <text>
        <r>
          <rPr>
            <b/>
            <sz val="9"/>
            <rFont val="굴림"/>
            <family val="3"/>
          </rPr>
          <t xml:space="preserve">잡이익 
대손환입 </t>
        </r>
      </text>
    </comment>
    <comment ref="G95" authorId="0">
      <text>
        <r>
          <rPr>
            <b/>
            <sz val="9"/>
            <rFont val="굴림"/>
            <family val="3"/>
          </rPr>
          <t>수선유지비
1,254,996,354중
건물유지비</t>
        </r>
      </text>
    </comment>
    <comment ref="G96" authorId="0">
      <text>
        <r>
          <rPr>
            <b/>
            <sz val="9"/>
            <rFont val="굴림"/>
            <family val="3"/>
          </rPr>
          <t xml:space="preserve">수선유지비 
1,254,996,354중
의료장비 관리비
</t>
        </r>
      </text>
    </comment>
    <comment ref="G103" authorId="0">
      <text>
        <r>
          <rPr>
            <b/>
            <sz val="9"/>
            <rFont val="굴림"/>
            <family val="3"/>
          </rPr>
          <t>수선유지비 
1,254,996,354중
전산 및 기타 관리비</t>
        </r>
      </text>
    </comment>
    <comment ref="G109" authorId="0">
      <text>
        <r>
          <rPr>
            <b/>
            <sz val="9"/>
            <rFont val="굴림"/>
            <family val="3"/>
          </rPr>
          <t xml:space="preserve">동력비
2,080,572,530중
</t>
        </r>
      </text>
    </comment>
    <comment ref="G110" authorId="0">
      <text>
        <r>
          <rPr>
            <b/>
            <sz val="9"/>
            <rFont val="굴림"/>
            <family val="3"/>
          </rPr>
          <t>동력비
2,080,572,530중</t>
        </r>
      </text>
    </comment>
    <comment ref="G122" authorId="0">
      <text>
        <r>
          <rPr>
            <b/>
            <sz val="9"/>
            <rFont val="굴림"/>
            <family val="3"/>
          </rPr>
          <t>잡비
10,455,430 + 
운반비
200,000</t>
        </r>
      </text>
    </comment>
    <comment ref="G125" authorId="0">
      <text>
        <r>
          <rPr>
            <b/>
            <sz val="9"/>
            <rFont val="굴림"/>
            <family val="3"/>
          </rPr>
          <t>진료재료
13,721,470,291중
혈액비 
1,067,762,300 제외</t>
        </r>
      </text>
    </comment>
    <comment ref="G128" authorId="0">
      <text>
        <r>
          <rPr>
            <b/>
            <sz val="9"/>
            <rFont val="굴림"/>
            <family val="3"/>
          </rPr>
          <t xml:space="preserve">진료재료
13,721,470,291중
혈액비분
</t>
        </r>
      </text>
    </comment>
    <comment ref="G138" authorId="0">
      <text>
        <r>
          <rPr>
            <b/>
            <sz val="9"/>
            <rFont val="굴림"/>
            <family val="3"/>
          </rPr>
          <t>잡손실
177,299,266
대손상각비
191,687,511</t>
        </r>
      </text>
    </comment>
    <comment ref="G140" authorId="0">
      <text>
        <r>
          <rPr>
            <b/>
            <sz val="9"/>
            <rFont val="굴림"/>
            <family val="3"/>
          </rPr>
          <t>고유목적준비금 사용액 중 교회헌금등</t>
        </r>
      </text>
    </comment>
    <comment ref="G145" authorId="0">
      <text>
        <r>
          <rPr>
            <b/>
            <sz val="9"/>
            <rFont val="굴림"/>
            <family val="3"/>
          </rPr>
          <t xml:space="preserve">의대전출분
</t>
        </r>
      </text>
    </comment>
    <comment ref="G153" authorId="0">
      <text>
        <r>
          <rPr>
            <b/>
            <sz val="9"/>
            <rFont val="굴림"/>
            <family val="3"/>
          </rPr>
          <t>매출차감분 반영하지 
않음
795,727,490원</t>
        </r>
      </text>
    </comment>
    <comment ref="G163" authorId="0">
      <text>
        <r>
          <rPr>
            <b/>
            <sz val="9"/>
            <rFont val="굴림"/>
            <family val="3"/>
          </rPr>
          <t>본관 15층 용도변경 공사
        136,500,000
의료가스실 증설
          50,000,000</t>
        </r>
      </text>
    </comment>
    <comment ref="C174" authorId="1">
      <text>
        <r>
          <rPr>
            <b/>
            <sz val="9"/>
            <rFont val="굴림"/>
            <family val="3"/>
          </rPr>
          <t>조칠래:</t>
        </r>
        <r>
          <rPr>
            <sz val="9"/>
            <rFont val="굴림"/>
            <family val="3"/>
          </rPr>
          <t xml:space="preserve">
의료기기구입차입금상환
3월 130,000
4월 180,000
5월 220,000
6~2월(9개월) 318,400*9개월</t>
        </r>
      </text>
    </comment>
    <comment ref="G178" authorId="0">
      <text>
        <r>
          <rPr>
            <b/>
            <sz val="9"/>
            <rFont val="굴림"/>
            <family val="3"/>
          </rPr>
          <t>금융리스</t>
        </r>
      </text>
    </comment>
    <comment ref="D5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실제들어온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돈에서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 xml:space="preserve">
고정자산처분이익</t>
        </r>
      </text>
    </comment>
  </commentList>
</comments>
</file>

<file path=xl/comments9.xml><?xml version="1.0" encoding="utf-8"?>
<comments xmlns="http://schemas.openxmlformats.org/spreadsheetml/2006/main">
  <authors>
    <author>Korean</author>
    <author>eulji</author>
    <author>user</author>
    <author>조칠래</author>
  </authors>
  <commentList>
    <comment ref="G10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의대교수급여</t>
        </r>
      </text>
    </comment>
    <comment ref="G19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기본급</t>
        </r>
      </text>
    </comment>
    <comment ref="G21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직무수당,체력단련비,차량유지비,기타수당</t>
        </r>
      </text>
    </comment>
    <comment ref="G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퇴직급여충당금 차변금액
-퇴직연금 대변금액
</t>
        </r>
      </text>
    </comment>
    <comment ref="G27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건물수선비+기타수선비
</t>
        </r>
      </text>
    </comment>
    <comment ref="G28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의료장비수선비
전산장비수선비</t>
        </r>
      </text>
    </comment>
    <comment ref="G31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청소용역비
세탁용역비
시설관리용역비
기타용역비</t>
        </r>
      </text>
    </comment>
    <comment ref="G32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화재보험료(7520)</t>
        </r>
      </text>
    </comment>
    <comment ref="G33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7430</t>
        </r>
      </text>
    </comment>
    <comment ref="G34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기타수선비
</t>
        </r>
      </text>
    </comment>
    <comment ref="G36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국내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해외출장비</t>
        </r>
      </text>
    </comment>
    <comment ref="G37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자동차세+보험료+유류대+수리비
</t>
        </r>
      </text>
    </comment>
    <comment ref="G38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사무용품비+기타소모품비</t>
        </r>
      </text>
    </comment>
    <comment ref="G39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인쇄비+정기간행물비-도서비</t>
        </r>
      </text>
    </comment>
    <comment ref="G40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연료비
직접입력</t>
        </r>
      </text>
    </comment>
    <comment ref="G41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전기수도료
직접입력</t>
        </r>
      </text>
    </comment>
    <comment ref="G4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전신전화료+우편료+기타통신비
</t>
        </r>
      </text>
    </comment>
    <comment ref="G44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지급+카드+지로수수료
</t>
        </r>
      </text>
    </comment>
    <comment ref="G53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잡비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대손상각비</t>
        </r>
      </text>
    </comment>
    <comment ref="G55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약품비+마약비</t>
        </r>
      </text>
    </comment>
    <comment ref="G56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수술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검사+방사선+동위원소+치과+기타진료재료비</t>
        </r>
      </text>
    </comment>
    <comment ref="G57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의료소모품+피복</t>
        </r>
      </text>
    </comment>
    <comment ref="G76" authorId="1">
      <text>
        <r>
          <rPr>
            <b/>
            <sz val="9"/>
            <rFont val="돋움"/>
            <family val="3"/>
          </rPr>
          <t xml:space="preserve">학교기금회계
직접입력
</t>
        </r>
      </text>
    </comment>
    <comment ref="G79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출연금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고목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 xml:space="preserve">의발
</t>
        </r>
      </text>
    </comment>
    <comment ref="B89" authorId="3">
      <text>
        <r>
          <rPr>
            <b/>
            <sz val="9"/>
            <rFont val="굴림"/>
            <family val="3"/>
          </rPr>
          <t>조칠래:</t>
        </r>
        <r>
          <rPr>
            <sz val="9"/>
            <rFont val="굴림"/>
            <family val="3"/>
          </rPr>
          <t xml:space="preserve">
출연금</t>
        </r>
      </text>
    </comment>
    <comment ref="B98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의료기기
</t>
        </r>
      </text>
    </comment>
    <comment ref="G114" authorId="0">
      <text>
        <r>
          <rPr>
            <b/>
            <sz val="9"/>
            <rFont val="굴림"/>
            <family val="3"/>
          </rPr>
          <t>Korean:</t>
        </r>
        <r>
          <rPr>
            <sz val="9"/>
            <rFont val="굴림"/>
            <family val="3"/>
          </rPr>
          <t xml:space="preserve">
금융리스미지급금</t>
        </r>
      </text>
    </comment>
    <comment ref="G93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퇴직연금운용자산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예치금
직접입력</t>
        </r>
      </text>
    </comment>
    <comment ref="G46" authorId="1">
      <text>
        <r>
          <rPr>
            <b/>
            <sz val="9"/>
            <rFont val="Tahoma"/>
            <family val="2"/>
          </rPr>
          <t>eulji: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기타복리후생비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 xml:space="preserve">축조의금
</t>
        </r>
      </text>
    </comment>
    <comment ref="G5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직접입력</t>
        </r>
      </text>
    </comment>
    <comment ref="G9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임차보증금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직접입력
</t>
        </r>
      </text>
    </comment>
  </commentList>
</comments>
</file>

<file path=xl/sharedStrings.xml><?xml version="1.0" encoding="utf-8"?>
<sst xmlns="http://schemas.openxmlformats.org/spreadsheetml/2006/main" count="3488" uniqueCount="1567">
  <si>
    <t>合 計 殘 額 試 算 表</t>
  </si>
  <si>
    <t xml:space="preserve"> </t>
  </si>
  <si>
    <t>차</t>
  </si>
  <si>
    <t>변</t>
  </si>
  <si>
    <t>계  정  과  목  명</t>
  </si>
  <si>
    <t>대</t>
  </si>
  <si>
    <t>유가증권</t>
  </si>
  <si>
    <t>퇴원미수금</t>
  </si>
  <si>
    <t>외래미수금</t>
  </si>
  <si>
    <t>받을어음</t>
  </si>
  <si>
    <t>단기대여금</t>
  </si>
  <si>
    <t>미수수익</t>
  </si>
  <si>
    <t>약품</t>
  </si>
  <si>
    <t>진료재료</t>
  </si>
  <si>
    <t>의료소모품</t>
  </si>
  <si>
    <t>일반저장품</t>
  </si>
  <si>
    <t>선급금</t>
  </si>
  <si>
    <t>선급비용</t>
  </si>
  <si>
    <t>선급제세</t>
  </si>
  <si>
    <t>가지급금</t>
  </si>
  <si>
    <t>전도금</t>
  </si>
  <si>
    <t>국민연급전환금</t>
  </si>
  <si>
    <t>전신전화가입권</t>
  </si>
  <si>
    <t>임차보증금</t>
  </si>
  <si>
    <t>퇴직보험예치금</t>
  </si>
  <si>
    <t>기타의기타자산</t>
  </si>
  <si>
    <t>토지</t>
  </si>
  <si>
    <t>건물</t>
  </si>
  <si>
    <t>구축물</t>
  </si>
  <si>
    <t>기계장치</t>
  </si>
  <si>
    <t>의료기기</t>
  </si>
  <si>
    <t>차량운반구</t>
  </si>
  <si>
    <t>공기구비품</t>
  </si>
  <si>
    <t>금융리스자산</t>
  </si>
  <si>
    <t>건설가계정</t>
  </si>
  <si>
    <t>환율조정차</t>
  </si>
  <si>
    <t>개업비</t>
  </si>
  <si>
    <t>지급어음</t>
  </si>
  <si>
    <t>미지급금</t>
  </si>
  <si>
    <t>미지급비용</t>
  </si>
  <si>
    <t>은행차입금</t>
  </si>
  <si>
    <t>당좌차월</t>
  </si>
  <si>
    <t>기타차입채무</t>
  </si>
  <si>
    <t>예수보증금</t>
  </si>
  <si>
    <t>예수금</t>
  </si>
  <si>
    <t>부가세예수금</t>
  </si>
  <si>
    <t>선수수익</t>
  </si>
  <si>
    <t>임대보증금</t>
  </si>
  <si>
    <t>대손충당금</t>
  </si>
  <si>
    <t>미지급제세</t>
  </si>
  <si>
    <t>가수금</t>
  </si>
  <si>
    <t>장기차입금</t>
  </si>
  <si>
    <t>외화장기차입금</t>
  </si>
  <si>
    <t>금융리스미지급금</t>
  </si>
  <si>
    <t>장기미지급금</t>
  </si>
  <si>
    <t>퇴직급여충당금</t>
  </si>
  <si>
    <t>고유목적사업준비금</t>
  </si>
  <si>
    <t>환율조정대</t>
  </si>
  <si>
    <t>출연금</t>
  </si>
  <si>
    <t>임의적립금</t>
  </si>
  <si>
    <t>기업합리화적립금</t>
  </si>
  <si>
    <t>미처리잉여금</t>
  </si>
  <si>
    <t>입원수익</t>
  </si>
  <si>
    <t>외래수익</t>
  </si>
  <si>
    <t>기타의료수익</t>
  </si>
  <si>
    <t>임대수익</t>
  </si>
  <si>
    <t>진료비감면</t>
  </si>
  <si>
    <t>약품비</t>
  </si>
  <si>
    <t>진료재료비</t>
  </si>
  <si>
    <t>의료소모품비</t>
  </si>
  <si>
    <t>급여</t>
  </si>
  <si>
    <t>잡급</t>
  </si>
  <si>
    <t>단체퇴직충당금전입액</t>
  </si>
  <si>
    <t>퇴직급여충당금전입액</t>
  </si>
  <si>
    <t>법정부담금</t>
  </si>
  <si>
    <t>복리후생비</t>
  </si>
  <si>
    <t>여비교통비</t>
  </si>
  <si>
    <t>동력비</t>
  </si>
  <si>
    <t>제세공과금</t>
  </si>
  <si>
    <t>소모품비</t>
  </si>
  <si>
    <t>리스료</t>
  </si>
  <si>
    <t>도서인쇄비</t>
  </si>
  <si>
    <t>감가상각비</t>
  </si>
  <si>
    <t>지급수수료</t>
  </si>
  <si>
    <t>외부검사료</t>
  </si>
  <si>
    <t>외주용역비</t>
  </si>
  <si>
    <t>수선유지비</t>
  </si>
  <si>
    <t>보험료</t>
  </si>
  <si>
    <t>교육훈련비</t>
  </si>
  <si>
    <t>잡비</t>
  </si>
  <si>
    <t>통신비</t>
  </si>
  <si>
    <t>임차료</t>
  </si>
  <si>
    <t>차량유지비</t>
  </si>
  <si>
    <t>운반및보관료</t>
  </si>
  <si>
    <t>기밀비</t>
  </si>
  <si>
    <t>접대비</t>
  </si>
  <si>
    <t>광고선전비</t>
  </si>
  <si>
    <t>대손상각비</t>
  </si>
  <si>
    <t>수입이자와할인료</t>
  </si>
  <si>
    <t>외환차익</t>
  </si>
  <si>
    <t>구급차수입</t>
  </si>
  <si>
    <t>대손충당금환입</t>
  </si>
  <si>
    <t>매입할인</t>
  </si>
  <si>
    <t>지급이자와할인료</t>
  </si>
  <si>
    <t>외환차손</t>
  </si>
  <si>
    <t>외화평가손실</t>
  </si>
  <si>
    <t>진료비할인</t>
  </si>
  <si>
    <t>학원경비</t>
  </si>
  <si>
    <t>환율조정차상각비</t>
  </si>
  <si>
    <t>잡손실</t>
  </si>
  <si>
    <t>고정자산처분손실</t>
  </si>
  <si>
    <t>법인세등</t>
  </si>
  <si>
    <t>합계</t>
  </si>
  <si>
    <t>貸  借  對  照  表</t>
  </si>
  <si>
    <t xml:space="preserve">   과              목</t>
  </si>
  <si>
    <t xml:space="preserve">   자              산</t>
  </si>
  <si>
    <t>Ⅰ.유   동   자    산</t>
  </si>
  <si>
    <t xml:space="preserve"> (1)당   좌   자   산 </t>
  </si>
  <si>
    <t xml:space="preserve">    3.유  가  증  권</t>
  </si>
  <si>
    <t xml:space="preserve">    4.재 원 미 수 금</t>
  </si>
  <si>
    <t xml:space="preserve">    (대 손 충 당 금)</t>
  </si>
  <si>
    <t xml:space="preserve">    5.퇴 원 미 수 금</t>
  </si>
  <si>
    <t xml:space="preserve">    6.외 래 미 수 금</t>
  </si>
  <si>
    <t xml:space="preserve">    9.받  을  어  음</t>
  </si>
  <si>
    <t xml:space="preserve">    10.단 기 대 여 금</t>
  </si>
  <si>
    <t xml:space="preserve">    11.미 수  수  익</t>
  </si>
  <si>
    <t xml:space="preserve"> (2)재  고   자   산</t>
  </si>
  <si>
    <t xml:space="preserve">    1.약          품</t>
  </si>
  <si>
    <t xml:space="preserve">    2.진  료  재  료</t>
  </si>
  <si>
    <t xml:space="preserve">    3.의 료 소 모 품</t>
  </si>
  <si>
    <t xml:space="preserve">    4.급  식  재  료</t>
  </si>
  <si>
    <t xml:space="preserve">    5.일 반 저 장 품</t>
  </si>
  <si>
    <t xml:space="preserve"> (3)기 타 유 동 자 산</t>
  </si>
  <si>
    <t xml:space="preserve">    1.선    급    금</t>
  </si>
  <si>
    <t xml:space="preserve">    2.선  급  비  용</t>
  </si>
  <si>
    <t xml:space="preserve">    3.선  급  제  세</t>
  </si>
  <si>
    <t>Ⅱ.투 자 와 기 타 자 산</t>
  </si>
  <si>
    <t xml:space="preserve"> (1)투   자   자   산</t>
  </si>
  <si>
    <t xml:space="preserve"> (2)기   타   자   산</t>
  </si>
  <si>
    <t xml:space="preserve">    1.전신전화가입권</t>
  </si>
  <si>
    <t xml:space="preserve">    2.임차보증금</t>
  </si>
  <si>
    <t>Ⅲ. 고   정   자   산</t>
  </si>
  <si>
    <t xml:space="preserve"> (1)유 형 고 정 자 산</t>
  </si>
  <si>
    <t xml:space="preserve">    1.토           지</t>
  </si>
  <si>
    <t xml:space="preserve">    2.건           물</t>
  </si>
  <si>
    <t xml:space="preserve">    3.구    축     물</t>
  </si>
  <si>
    <t xml:space="preserve">    4.기  계  장  치</t>
  </si>
  <si>
    <t xml:space="preserve">    5.의  료  기  기</t>
  </si>
  <si>
    <t xml:space="preserve">    6.차 량 운 반 구</t>
  </si>
  <si>
    <t xml:space="preserve">    7.공 기 구 비 품</t>
  </si>
  <si>
    <t xml:space="preserve">    8. 금융리스자산</t>
  </si>
  <si>
    <t xml:space="preserve">    9.건 설 가 계 정</t>
  </si>
  <si>
    <t>Ⅳ.이   연   자   산</t>
  </si>
  <si>
    <t xml:space="preserve">    1.환 율 조 정 차</t>
  </si>
  <si>
    <t xml:space="preserve">    2.개    업    비</t>
  </si>
  <si>
    <t xml:space="preserve">  (자   산   총   계)</t>
  </si>
  <si>
    <t xml:space="preserve">   부           채</t>
  </si>
  <si>
    <t>Ⅰ.유  동  부  채</t>
  </si>
  <si>
    <t xml:space="preserve"> (1)지  급   채   무</t>
  </si>
  <si>
    <t xml:space="preserve">    1.외 상 매 입 금</t>
  </si>
  <si>
    <t xml:space="preserve">    2.지  급  어  음</t>
  </si>
  <si>
    <t xml:space="preserve">    3.미  지  급  금</t>
  </si>
  <si>
    <t xml:space="preserve">    4.미 지 급 비 용</t>
  </si>
  <si>
    <t xml:space="preserve"> (2)차  입   채   무</t>
  </si>
  <si>
    <t xml:space="preserve">    1.은 행 차 입 금</t>
  </si>
  <si>
    <t xml:space="preserve">    2.당  좌  차  월</t>
  </si>
  <si>
    <t xml:space="preserve"> (3)기타 유 동 부 채</t>
  </si>
  <si>
    <t xml:space="preserve">    1.예 수 보 증 금</t>
  </si>
  <si>
    <t xml:space="preserve">    2.예    수    금</t>
  </si>
  <si>
    <t xml:space="preserve">    4.미 지 급 제 세</t>
  </si>
  <si>
    <t>Ⅱ.고   정   부   채</t>
  </si>
  <si>
    <t xml:space="preserve"> (1)차   입   채  무</t>
  </si>
  <si>
    <t xml:space="preserve">    1.장 기 차 입 금</t>
  </si>
  <si>
    <t xml:space="preserve">    3.임 대 보 증 금</t>
  </si>
  <si>
    <t xml:space="preserve">    4.금융리스미지급금</t>
  </si>
  <si>
    <t xml:space="preserve"> (2)장 기 제 충 당 금</t>
  </si>
  <si>
    <t xml:space="preserve">    1.퇴직급여충당금</t>
  </si>
  <si>
    <t>Ⅲ.이   연   부   채</t>
  </si>
  <si>
    <t xml:space="preserve">  (부   채   총   계)</t>
  </si>
  <si>
    <t xml:space="preserve">   자             본</t>
  </si>
  <si>
    <t>Ⅰ.출     연     금</t>
  </si>
  <si>
    <t>Ⅲ.미 처 리 잉 여 금</t>
  </si>
  <si>
    <t xml:space="preserve">    1.전기이월미처리잉여금</t>
  </si>
  <si>
    <t xml:space="preserve">    2.당 기 순 이 익</t>
  </si>
  <si>
    <t xml:space="preserve">   (자  본  총  계)</t>
  </si>
  <si>
    <t>[부채와자본총계]</t>
  </si>
  <si>
    <t>Ⅰ. 매     출      액</t>
  </si>
  <si>
    <t xml:space="preserve"> 1. 임 대 사 업 수 익</t>
  </si>
  <si>
    <t xml:space="preserve"> 2. 의 료 사 업 수 익</t>
  </si>
  <si>
    <t>Ⅱ. 매   출   원   가</t>
  </si>
  <si>
    <t>1) 임   대   비   용</t>
  </si>
  <si>
    <t xml:space="preserve">  가.기초부동산재고액</t>
  </si>
  <si>
    <t xml:space="preserve">  나.당기부동산매입액</t>
  </si>
  <si>
    <t xml:space="preserve">  다.기말부동산재고액</t>
  </si>
  <si>
    <t>2) 의   료   비   용</t>
  </si>
  <si>
    <t xml:space="preserve"> 1.약     품     비</t>
  </si>
  <si>
    <t xml:space="preserve">  가.기초약품재고액</t>
  </si>
  <si>
    <t xml:space="preserve">  나.당기약품매입액</t>
  </si>
  <si>
    <t xml:space="preserve">  다.기말약품재고액</t>
  </si>
  <si>
    <t xml:space="preserve"> 2. 진  료   재  료  비</t>
  </si>
  <si>
    <t xml:space="preserve">  가.기초진료재료재고액</t>
  </si>
  <si>
    <t xml:space="preserve">  나.당기진료재료매입액</t>
  </si>
  <si>
    <t xml:space="preserve">  다.기말진료재료재고액</t>
  </si>
  <si>
    <t xml:space="preserve"> 3. 의  료  소  모  품 비</t>
  </si>
  <si>
    <t xml:space="preserve">  가.기초의료소모품재고액</t>
  </si>
  <si>
    <t xml:space="preserve">  나.당기의료소모품매입액</t>
  </si>
  <si>
    <t xml:space="preserve">  다.기말의료소모품재고액</t>
  </si>
  <si>
    <t xml:space="preserve"> 4. 급  식  재  료  비</t>
  </si>
  <si>
    <t>Ⅲ.매  출  총  이  익</t>
  </si>
  <si>
    <t>Ⅳ.판 매 비 와 관 리 비</t>
  </si>
  <si>
    <t xml:space="preserve"> 5.단체퇴직급여충당금전입액</t>
  </si>
  <si>
    <t xml:space="preserve"> 6.퇴직급여충당금전입액</t>
  </si>
  <si>
    <t xml:space="preserve"> 26.건 물 수 선 비</t>
  </si>
  <si>
    <t xml:space="preserve"> 27.리    스    료</t>
  </si>
  <si>
    <t xml:space="preserve"> 28.외 주 용 역 비</t>
  </si>
  <si>
    <t xml:space="preserve"> 29.수 선 유 지 비</t>
  </si>
  <si>
    <t xml:space="preserve"> 3.외  환  차  익</t>
  </si>
  <si>
    <t xml:space="preserve"> 5.유가증권처분이익 </t>
  </si>
  <si>
    <t xml:space="preserve"> 6.대손충당금환입</t>
  </si>
  <si>
    <t xml:space="preserve"> 1.지급이자와할인료</t>
  </si>
  <si>
    <t xml:space="preserve"> 2.외  환  차  손</t>
  </si>
  <si>
    <t xml:space="preserve"> 4.기부금(전출금)</t>
  </si>
  <si>
    <t xml:space="preserve"> 5.진 료 비 할 인</t>
  </si>
  <si>
    <t xml:space="preserve"> 6.지 급 수 수 료</t>
  </si>
  <si>
    <t xml:space="preserve"> 8.고유목적준비금전입액</t>
  </si>
  <si>
    <t xml:space="preserve"> 10.환율조정차상각비</t>
  </si>
  <si>
    <t xml:space="preserve"> 11.잡    손    실</t>
  </si>
  <si>
    <t>Ⅷ.경  상  이  익</t>
  </si>
  <si>
    <t>Ⅸ.특  별  이  익</t>
  </si>
  <si>
    <t xml:space="preserve"> 1.고정자산처분이익</t>
  </si>
  <si>
    <t xml:space="preserve"> 2.투자자산처분이익</t>
  </si>
  <si>
    <t>Ⅹ.특  별  손  실</t>
  </si>
  <si>
    <t xml:space="preserve"> 1.고정자산처분손실</t>
  </si>
  <si>
    <t>ⅩⅠ.법인세차감전순이익</t>
  </si>
  <si>
    <t>ⅩⅡ.법  인  세  등</t>
  </si>
  <si>
    <t>ⅩⅢ.당 기 순 이 익</t>
  </si>
  <si>
    <t xml:space="preserve"> 3. 장 례 사 업 수 익</t>
  </si>
  <si>
    <t xml:space="preserve">    (퇴직보험예치금)</t>
  </si>
  <si>
    <t>(단위:원)</t>
  </si>
  <si>
    <t xml:space="preserve"> 9. 통    신    비</t>
  </si>
  <si>
    <t xml:space="preserve"> 8. 여 비 교 통 비</t>
  </si>
  <si>
    <t xml:space="preserve"> 7. 복 리 후 생 비</t>
  </si>
  <si>
    <t xml:space="preserve"> 1. 급          여</t>
  </si>
  <si>
    <t xml:space="preserve"> 3. 잡          급</t>
  </si>
  <si>
    <t xml:space="preserve"> 4. 법 정 부 담 금</t>
  </si>
  <si>
    <t xml:space="preserve"> 11.제 세 공 과 금</t>
  </si>
  <si>
    <t xml:space="preserve"> 12.소  모  품  비</t>
  </si>
  <si>
    <t xml:space="preserve"> 13.도 서 인 쇄 비 </t>
  </si>
  <si>
    <t xml:space="preserve"> 14.감 가 상 각 비</t>
  </si>
  <si>
    <t xml:space="preserve"> 15.임    차    료</t>
  </si>
  <si>
    <t xml:space="preserve"> 16.지 급 수 수 료</t>
  </si>
  <si>
    <t xml:space="preserve"> 17.차 량 유 지 비</t>
  </si>
  <si>
    <t xml:space="preserve"> 18.보    험    료</t>
  </si>
  <si>
    <t xml:space="preserve"> 19.운반 및 보관료</t>
  </si>
  <si>
    <t xml:space="preserve"> 20.기    밀    비</t>
  </si>
  <si>
    <t xml:space="preserve"> 21.접    대    비</t>
  </si>
  <si>
    <t xml:space="preserve"> 22.광 고 선 전 비</t>
  </si>
  <si>
    <t xml:space="preserve"> 23.교 육 훈 련 비</t>
  </si>
  <si>
    <t xml:space="preserve"> 25.잡          비</t>
  </si>
  <si>
    <t xml:space="preserve"> 10.수 도 광 열 비</t>
  </si>
  <si>
    <t xml:space="preserve"> 5. 장례 용품 재 료 비</t>
  </si>
  <si>
    <t xml:space="preserve"> 6. 급              여</t>
  </si>
  <si>
    <t xml:space="preserve"> 7.고유목적사업준비금환입</t>
  </si>
  <si>
    <t xml:space="preserve"> 3.외화 평가 손실</t>
  </si>
  <si>
    <t xml:space="preserve"> 4. 평생교육원수강료수익</t>
  </si>
  <si>
    <t>損   益   計   算   書</t>
  </si>
  <si>
    <t xml:space="preserve"> 2. 퇴  직  급  여</t>
  </si>
  <si>
    <t xml:space="preserve"> 2.교 육 부 대 수 입</t>
  </si>
  <si>
    <t>학교법인 을지학원(을지대학병원)</t>
  </si>
  <si>
    <t xml:space="preserve">    2.장기미지급금</t>
  </si>
  <si>
    <t>1. 자  산</t>
  </si>
  <si>
    <t>(단위:원)</t>
  </si>
  <si>
    <t>과                   목</t>
  </si>
  <si>
    <t>당    기</t>
  </si>
  <si>
    <t>관,     항</t>
  </si>
  <si>
    <t>목</t>
  </si>
  <si>
    <t>관, 항</t>
  </si>
  <si>
    <t>1100 유 동 자 산</t>
  </si>
  <si>
    <t xml:space="preserve"> 1110 유동자금</t>
  </si>
  <si>
    <t>1111 현  금</t>
  </si>
  <si>
    <t>1112 예  금</t>
  </si>
  <si>
    <t>1113 유가증권</t>
  </si>
  <si>
    <t xml:space="preserve"> 1120 기타유동자산</t>
  </si>
  <si>
    <t>1121 단기대여금</t>
  </si>
  <si>
    <t>1122 선  급  금</t>
  </si>
  <si>
    <t>1123 미  수  금</t>
  </si>
  <si>
    <t>1124 미수수익</t>
  </si>
  <si>
    <t>1125 선급법인세</t>
  </si>
  <si>
    <t>1126 받을어음</t>
  </si>
  <si>
    <t>1127 선급비용</t>
  </si>
  <si>
    <t>1128 재고자산</t>
  </si>
  <si>
    <t>1200 투자와기타자산</t>
  </si>
  <si>
    <t xml:space="preserve"> 1210 설치학교</t>
  </si>
  <si>
    <t>1211 의 과 대 학</t>
  </si>
  <si>
    <t>1212 보건전문대학</t>
  </si>
  <si>
    <t>1214 부 속 병 원</t>
  </si>
  <si>
    <t xml:space="preserve"> 1220 투자자산</t>
  </si>
  <si>
    <t>1221 부속병원투자</t>
  </si>
  <si>
    <t>1222 투자유가증권</t>
  </si>
  <si>
    <t>1229 기타 투자자산</t>
  </si>
  <si>
    <t xml:space="preserve"> 1230 특정기금</t>
  </si>
  <si>
    <t>1231 특정기금</t>
  </si>
  <si>
    <t>1232 연구기금</t>
  </si>
  <si>
    <t>1233 건설기금</t>
  </si>
  <si>
    <t>1239 기타기금</t>
  </si>
  <si>
    <t xml:space="preserve"> 1240 기 타 자 산</t>
  </si>
  <si>
    <t>1241 전신전화보증금</t>
  </si>
  <si>
    <t>1242 임차보증금</t>
  </si>
  <si>
    <t>1244 기타의기타자산</t>
  </si>
  <si>
    <t>1300 고 정 자 산</t>
  </si>
  <si>
    <t xml:space="preserve"> 1310 유형고정자산</t>
  </si>
  <si>
    <t>1311 토     지</t>
  </si>
  <si>
    <t>1312 건     물</t>
  </si>
  <si>
    <t xml:space="preserve">     감가충당금</t>
  </si>
  <si>
    <t>1313 건물부속설비</t>
  </si>
  <si>
    <t>1319 건설가계정</t>
  </si>
  <si>
    <t>자  산  합  계</t>
  </si>
  <si>
    <t>2.부채 및 기본금</t>
  </si>
  <si>
    <t>과               목</t>
  </si>
  <si>
    <t>관,      항</t>
  </si>
  <si>
    <t>2100 유 동 부 채</t>
  </si>
  <si>
    <t xml:space="preserve"> 2120 예  수  금</t>
  </si>
  <si>
    <t>2122 예  수  금</t>
  </si>
  <si>
    <t xml:space="preserve"> 2130 선  수  금</t>
  </si>
  <si>
    <t>2131 등록금 선수금</t>
  </si>
  <si>
    <t>2139 기타 선수금</t>
  </si>
  <si>
    <t xml:space="preserve"> 2140 기타유동부채</t>
  </si>
  <si>
    <t>2141 미지급금</t>
  </si>
  <si>
    <t>2142 가 수 금</t>
  </si>
  <si>
    <t>2143 지급어음</t>
  </si>
  <si>
    <t>2144 외상매입금</t>
  </si>
  <si>
    <t>2145 은행차입금</t>
  </si>
  <si>
    <t>2146 미지급비용</t>
  </si>
  <si>
    <t>2200 고 정 부 채</t>
  </si>
  <si>
    <t xml:space="preserve"> 2210 장기차입금</t>
  </si>
  <si>
    <t>2211 장기차입금</t>
  </si>
  <si>
    <t>2212 차     관</t>
  </si>
  <si>
    <t>2214 퇴직급여충당금</t>
  </si>
  <si>
    <t>2215 단체퇴직충당금</t>
  </si>
  <si>
    <t xml:space="preserve"> 2220 기타고정부채</t>
  </si>
  <si>
    <t>2221 임대보증금</t>
  </si>
  <si>
    <t>2222 장기 미지급금</t>
  </si>
  <si>
    <t>3100 기 본 금</t>
  </si>
  <si>
    <t xml:space="preserve"> 3110 출연 기본금</t>
  </si>
  <si>
    <t>3111 설립자 기본금</t>
  </si>
  <si>
    <t>3112 기타 기본금</t>
  </si>
  <si>
    <t xml:space="preserve">     법     인</t>
  </si>
  <si>
    <t xml:space="preserve"> 3120 적  립  금</t>
  </si>
  <si>
    <t>3124 장학 적립금</t>
  </si>
  <si>
    <t>3126 발전기금적립금</t>
  </si>
  <si>
    <t>3129 기타 적립금</t>
  </si>
  <si>
    <t xml:space="preserve"> 3130 운영차액</t>
  </si>
  <si>
    <t>3131 전기이월운영차액</t>
  </si>
  <si>
    <t>3131A운영차액대체수정</t>
  </si>
  <si>
    <t xml:space="preserve">     당기운영차액</t>
  </si>
  <si>
    <t>부채 및 기본금의 계</t>
  </si>
  <si>
    <t>자   금   계   산   서</t>
  </si>
  <si>
    <t xml:space="preserve">   의   료   수  입</t>
  </si>
  <si>
    <t xml:space="preserve">   입원수입</t>
  </si>
  <si>
    <t>입원수입</t>
  </si>
  <si>
    <t xml:space="preserve">   외래수입</t>
  </si>
  <si>
    <t xml:space="preserve">   기타수입</t>
  </si>
  <si>
    <t xml:space="preserve"> 5220 기부금 수입</t>
  </si>
  <si>
    <t>5221 일 반 기 부 금</t>
  </si>
  <si>
    <t>5222 지 정 기 부 금</t>
  </si>
  <si>
    <t>5400교육(영업)외수입</t>
  </si>
  <si>
    <t xml:space="preserve"> 5410 예금이자수입</t>
  </si>
  <si>
    <t>5411 예 금 이 자</t>
  </si>
  <si>
    <t xml:space="preserve"> 5420 유가증권이자</t>
  </si>
  <si>
    <t>5421 유가증권이자</t>
  </si>
  <si>
    <t xml:space="preserve"> 5420 기타교육(영업)외수입</t>
  </si>
  <si>
    <t>5421 잡  수  입</t>
  </si>
  <si>
    <t xml:space="preserve"> 5430 수익재산수입</t>
  </si>
  <si>
    <t>5431 임 대 료 수 입</t>
  </si>
  <si>
    <t>5432 배 당 금 수 입</t>
  </si>
  <si>
    <t>1100 유동자산수입</t>
  </si>
  <si>
    <t xml:space="preserve"> 1120 기타유동자산수입</t>
  </si>
  <si>
    <t>1200투자와기타자산수입</t>
  </si>
  <si>
    <t xml:space="preserve"> 1220 투자자산수입</t>
  </si>
  <si>
    <t>1221 투자유가증권매각대</t>
  </si>
  <si>
    <t>1229 기타투자자산 수입</t>
  </si>
  <si>
    <t xml:space="preserve"> 1230 특정기금인출수입</t>
  </si>
  <si>
    <t>1234 장학기금인출</t>
  </si>
  <si>
    <t>1236 발전기금인출</t>
  </si>
  <si>
    <t>1239 기타기금인출</t>
  </si>
  <si>
    <t xml:space="preserve"> 1240 기타자산수입</t>
  </si>
  <si>
    <t>1241 전신전화 보증금회수</t>
  </si>
  <si>
    <t>1242 임차보증금 회수</t>
  </si>
  <si>
    <t>1249 기타자산수입</t>
  </si>
  <si>
    <t>1300 고정자산매각수입</t>
  </si>
  <si>
    <t xml:space="preserve"> 1310유형고정자산매각수입</t>
  </si>
  <si>
    <t>1311 토지매각대</t>
  </si>
  <si>
    <t>1312 건물매각대</t>
  </si>
  <si>
    <t>1314 기계,기구 매각대</t>
  </si>
  <si>
    <t>1315 집기비품 매각대</t>
  </si>
  <si>
    <t>1316 차량운반구매각대</t>
  </si>
  <si>
    <t>2100 유동부채입금</t>
  </si>
  <si>
    <t xml:space="preserve"> 2110 단기차입금</t>
  </si>
  <si>
    <t>2111 단기차입금차입</t>
  </si>
  <si>
    <t>2200 고정부채입금</t>
  </si>
  <si>
    <t>2211 장기차입금차입</t>
  </si>
  <si>
    <t>2212 차관도입</t>
  </si>
  <si>
    <t xml:space="preserve"> 3110 기타기본금</t>
  </si>
  <si>
    <t>3113 기타기본금</t>
  </si>
  <si>
    <t>전  기  이  월  자  금</t>
  </si>
  <si>
    <t>자  금  수  입  총  계</t>
  </si>
  <si>
    <t>결산액</t>
  </si>
  <si>
    <t>증감액</t>
  </si>
  <si>
    <t>예산액</t>
  </si>
  <si>
    <t>4100 인 건 비</t>
  </si>
  <si>
    <t xml:space="preserve"> 4110 교원인건비</t>
  </si>
  <si>
    <t>4111 교 원 급 여</t>
  </si>
  <si>
    <t>4112 교 원 상 여 금</t>
  </si>
  <si>
    <t>4113 교 원 제 수 당</t>
  </si>
  <si>
    <t>4114 교원 법정부담금</t>
  </si>
  <si>
    <t>4115 시 간 강 사 료</t>
  </si>
  <si>
    <t>4116 특 별 강 사 료</t>
  </si>
  <si>
    <t>4117 교 원 퇴 직 금</t>
  </si>
  <si>
    <t>4118 조 교 인 건 비</t>
  </si>
  <si>
    <t>4119 임상강사외보수</t>
  </si>
  <si>
    <t>4120 전 공 의 보 수</t>
  </si>
  <si>
    <t xml:space="preserve"> 4120 직원 인건비</t>
  </si>
  <si>
    <t>4121 직 원 급 여</t>
  </si>
  <si>
    <t>4122 직 원 상 여 금</t>
  </si>
  <si>
    <t>4123 직 원 제 수 당</t>
  </si>
  <si>
    <t>4125 임 시 직 보 수</t>
  </si>
  <si>
    <t>4200 관리운영비</t>
  </si>
  <si>
    <t xml:space="preserve"> 4210 시설 관리비</t>
  </si>
  <si>
    <t>4211 건축물 관리비</t>
  </si>
  <si>
    <t>4212 장 비 관 리 비</t>
  </si>
  <si>
    <t>4223 조 경 관 리 비</t>
  </si>
  <si>
    <t>4224 박물관 관리비</t>
  </si>
  <si>
    <t>4215 시 설 관 리 비</t>
  </si>
  <si>
    <t>4216 보   험   료</t>
  </si>
  <si>
    <t>4219 기타시설관리비</t>
  </si>
  <si>
    <t xml:space="preserve"> 4220 일반관리비</t>
  </si>
  <si>
    <t>4221 여 비 교 통 비</t>
  </si>
  <si>
    <t>4222 차 량 유 지 비</t>
  </si>
  <si>
    <t>4223 소 모 품 비</t>
  </si>
  <si>
    <t>4224 인 쇄 출 판 비</t>
  </si>
  <si>
    <t>4225 난    방    비</t>
  </si>
  <si>
    <t>4226 전 기 수 도 료</t>
  </si>
  <si>
    <t>4227 통    신    비</t>
  </si>
  <si>
    <t>4228 세 금 과 공 과</t>
  </si>
  <si>
    <t>4229 지 급 수 수 료</t>
  </si>
  <si>
    <t xml:space="preserve"> 4230 운 영 비</t>
  </si>
  <si>
    <t>4231 복 리 후 생 비</t>
  </si>
  <si>
    <t>4239 기 타 운 영 비</t>
  </si>
  <si>
    <t xml:space="preserve"> 4240 진료재료비</t>
  </si>
  <si>
    <t>4241 약  품  비</t>
  </si>
  <si>
    <t>4242 진료재료비</t>
  </si>
  <si>
    <t>4242 의료 소모품비</t>
  </si>
  <si>
    <t>4243 취  사  비</t>
  </si>
  <si>
    <t>4245 외 주 검 사 비</t>
  </si>
  <si>
    <t>4300 연구학생경비</t>
  </si>
  <si>
    <t xml:space="preserve"> 4310 연 구 비</t>
  </si>
  <si>
    <t>4311 연  구  비</t>
  </si>
  <si>
    <t>4312 연구관리비</t>
  </si>
  <si>
    <t>4400 교육(영업)외비용</t>
  </si>
  <si>
    <t xml:space="preserve"> 4410 지 급 이 자</t>
  </si>
  <si>
    <t>4411 지  급  이  자</t>
  </si>
  <si>
    <t xml:space="preserve"> 4420 기타교육(영업)외비용</t>
  </si>
  <si>
    <t>4421 잡   손   실</t>
  </si>
  <si>
    <t>4500 전  출  금</t>
  </si>
  <si>
    <t xml:space="preserve"> 4510 전 출 금</t>
  </si>
  <si>
    <t>4511 경상비 전출금</t>
  </si>
  <si>
    <t>4512 법정부담금전출금</t>
  </si>
  <si>
    <t>4513 자 산 전 출 금</t>
  </si>
  <si>
    <t xml:space="preserve">4800 예  비  비 </t>
  </si>
  <si>
    <t xml:space="preserve"> 4810 예  비  비</t>
  </si>
  <si>
    <t>4811 예  비  비</t>
  </si>
  <si>
    <t>1200투자와기타자산지출</t>
  </si>
  <si>
    <t xml:space="preserve"> 1240 기타자산지출</t>
  </si>
  <si>
    <t>1241 전신전화보증금지출</t>
  </si>
  <si>
    <t>1242 임차보증금지출</t>
  </si>
  <si>
    <t>1243 퇴직보험예치금</t>
  </si>
  <si>
    <t>1300 고정자산매입지출</t>
  </si>
  <si>
    <t xml:space="preserve"> 1310유형고정자산매입지출</t>
  </si>
  <si>
    <t>1311 토지매입비</t>
  </si>
  <si>
    <t>1312,3 건물 및부속설비</t>
  </si>
  <si>
    <t>1314 기계기구매입비</t>
  </si>
  <si>
    <t>1315 집기비품매입비</t>
  </si>
  <si>
    <t>1316 차량운반구매입비</t>
  </si>
  <si>
    <t>1317 도서구입비</t>
  </si>
  <si>
    <t>2100 유동부채상환</t>
  </si>
  <si>
    <t xml:space="preserve"> 2110단기차입금 상환</t>
  </si>
  <si>
    <t>2111 단기차입금상환</t>
  </si>
  <si>
    <t>2200 고정부채상환</t>
  </si>
  <si>
    <t xml:space="preserve"> 2210 장기차입금상환</t>
  </si>
  <si>
    <t>2211 장기차입금상환</t>
  </si>
  <si>
    <t>2212 차관상환</t>
  </si>
  <si>
    <t xml:space="preserve"> 2220 기타고정부채상환</t>
  </si>
  <si>
    <t>2221 임대보증금상환</t>
  </si>
  <si>
    <t>2222 장기미지급금상환</t>
  </si>
  <si>
    <t>2229 기타고정부채상환</t>
  </si>
  <si>
    <t xml:space="preserve"> 차 기 이 월 자 금</t>
  </si>
  <si>
    <t>1100 기말유동자산</t>
  </si>
  <si>
    <t>1110 유 동 자 금</t>
  </si>
  <si>
    <t>1120 기타유동자금</t>
  </si>
  <si>
    <t>2100 기말유동부채</t>
  </si>
  <si>
    <t>2120 예  수  금</t>
  </si>
  <si>
    <t>2130 선  수  금</t>
  </si>
  <si>
    <t>2140 기타유동부채</t>
  </si>
  <si>
    <t xml:space="preserve"> 자  금  지  출  총  계</t>
  </si>
  <si>
    <t>임대보증금</t>
  </si>
  <si>
    <t>예수보증금</t>
  </si>
  <si>
    <t>대  차  대  조  표</t>
  </si>
  <si>
    <t>◎ 을지대학병원</t>
  </si>
  <si>
    <t>과</t>
  </si>
  <si>
    <t>목</t>
  </si>
  <si>
    <t>학교법인 을지학원(을지대학병원합산)</t>
  </si>
  <si>
    <t>(단위 : 원)</t>
  </si>
  <si>
    <t>운   영   계   산   서</t>
  </si>
  <si>
    <t xml:space="preserve"> 1. 운  영  수   익</t>
  </si>
  <si>
    <t>입원 수입</t>
  </si>
  <si>
    <t>외래 수입</t>
  </si>
  <si>
    <t xml:space="preserve">   의료수입조정</t>
  </si>
  <si>
    <t>5200전입및기부수입</t>
  </si>
  <si>
    <t xml:space="preserve"> 5210 전입금수입</t>
  </si>
  <si>
    <t>5213 자산전입금</t>
  </si>
  <si>
    <t>5423 외환차익</t>
  </si>
  <si>
    <t>5424 기부금수입</t>
  </si>
  <si>
    <t>5425 구급차수입</t>
  </si>
  <si>
    <t>5426 대손충당금 환입</t>
  </si>
  <si>
    <t>5428 외화평가이익</t>
  </si>
  <si>
    <t>5429 고정자산처분이익</t>
  </si>
  <si>
    <t>5430 고유목적사업준비금환입</t>
  </si>
  <si>
    <t>5441 임 대 료 수 입</t>
  </si>
  <si>
    <t>5442 배 당 금 수 입</t>
  </si>
  <si>
    <t>운  영  수  입  총  계</t>
  </si>
  <si>
    <t xml:space="preserve"> 2. 지  출</t>
  </si>
  <si>
    <t>당     기</t>
  </si>
  <si>
    <t xml:space="preserve">  재료비</t>
  </si>
  <si>
    <t>1.약품비</t>
  </si>
  <si>
    <t>가.기초약품재고액</t>
  </si>
  <si>
    <t>나.당기약품매입액</t>
  </si>
  <si>
    <t>다.기말약품재고액</t>
  </si>
  <si>
    <t>2.진료 재료비</t>
  </si>
  <si>
    <t>가.기초진료재료재고액</t>
  </si>
  <si>
    <t>나.당기진료재료매입액</t>
  </si>
  <si>
    <t>다.기말진료재료재고액</t>
  </si>
  <si>
    <t>가.기초의료소모품재고액</t>
  </si>
  <si>
    <t>나.당기의료소모품재고액</t>
  </si>
  <si>
    <t>다.기말의료소모품재고액</t>
  </si>
  <si>
    <t>4.급식재료비</t>
  </si>
  <si>
    <t xml:space="preserve">  의료비용</t>
  </si>
  <si>
    <t>1.급      여</t>
  </si>
  <si>
    <t xml:space="preserve">  4210 시설관리비</t>
  </si>
  <si>
    <t>4211 수선유지비</t>
  </si>
  <si>
    <t>4215 외주용역비</t>
  </si>
  <si>
    <t>4216 보  험  료</t>
  </si>
  <si>
    <t>4217 임  차  료</t>
  </si>
  <si>
    <t>4218 리  스  료</t>
  </si>
  <si>
    <t>4219 운반및보관료</t>
  </si>
  <si>
    <t xml:space="preserve">  4220 일반관리비</t>
  </si>
  <si>
    <t>4221 여비교통비</t>
  </si>
  <si>
    <t>4222 차량유지비</t>
  </si>
  <si>
    <t>4223 소모품비</t>
  </si>
  <si>
    <t>4224 도서인쇄비</t>
  </si>
  <si>
    <t>4225 동 력 비</t>
  </si>
  <si>
    <t>4227 통 신 비</t>
  </si>
  <si>
    <t>4228 제세공과금</t>
  </si>
  <si>
    <t>4229 지급수수료</t>
  </si>
  <si>
    <t xml:space="preserve">  4230 운영비</t>
  </si>
  <si>
    <t>4234 접    대    비</t>
  </si>
  <si>
    <t>4235 광 고 선 전 비</t>
  </si>
  <si>
    <t>4236 감가상가비</t>
  </si>
  <si>
    <t xml:space="preserve">     대손상각비</t>
  </si>
  <si>
    <t>4237 외부검사료</t>
  </si>
  <si>
    <t xml:space="preserve">     연  구  비</t>
  </si>
  <si>
    <t>4238 대손충당금전입액</t>
  </si>
  <si>
    <t>4239 잡      비</t>
  </si>
  <si>
    <t>4422 외화평가손실</t>
  </si>
  <si>
    <t>4423 외 환 차 손</t>
  </si>
  <si>
    <t xml:space="preserve"> 4420 기타교육(영업)외비용</t>
  </si>
  <si>
    <t>4424 고유목적준비금전입액</t>
  </si>
  <si>
    <t>4425 기부금</t>
  </si>
  <si>
    <t>4426 진료비할인</t>
  </si>
  <si>
    <t>4427 전기운영차액수정</t>
  </si>
  <si>
    <t>4429 고정자산처분손실</t>
  </si>
  <si>
    <t>운영비용합계</t>
  </si>
  <si>
    <t>기본금대체액</t>
  </si>
  <si>
    <t>3112 법인대체액</t>
  </si>
  <si>
    <t>3113 기타기본금대체액</t>
  </si>
  <si>
    <t>3132A 당기운영차액</t>
  </si>
  <si>
    <t xml:space="preserve"> 비  용  총  계</t>
  </si>
  <si>
    <t xml:space="preserve">    운영차액대체</t>
  </si>
  <si>
    <t>자   금   수   입   현   황</t>
  </si>
  <si>
    <t>자   금   지   출   현   황</t>
  </si>
  <si>
    <t>과 목</t>
  </si>
  <si>
    <t>예산액(A)</t>
  </si>
  <si>
    <t>비  고</t>
  </si>
  <si>
    <t>과  목</t>
  </si>
  <si>
    <t>계</t>
  </si>
  <si>
    <t>증감(A-B)</t>
  </si>
  <si>
    <t>전기이월
자금</t>
  </si>
  <si>
    <t>기본금</t>
  </si>
  <si>
    <t>결산액(B)</t>
  </si>
  <si>
    <t>비율</t>
  </si>
  <si>
    <t>인건비(보수)</t>
  </si>
  <si>
    <t>전입금 및 
기부수입</t>
  </si>
  <si>
    <t>의료수입</t>
  </si>
  <si>
    <t>의료외비용</t>
  </si>
  <si>
    <t>의료외수입</t>
  </si>
  <si>
    <t>투자와기타자산</t>
  </si>
  <si>
    <t>예  비  비</t>
  </si>
  <si>
    <t>고정자산매각</t>
  </si>
  <si>
    <t>고정부채입금</t>
  </si>
  <si>
    <t>투자와기타자산
지출</t>
  </si>
  <si>
    <t>고정자산매입
지출</t>
  </si>
  <si>
    <t>고정부채상환</t>
  </si>
  <si>
    <t xml:space="preserve">           (단위:천원)</t>
  </si>
  <si>
    <t>미사용차기이월
자금</t>
  </si>
  <si>
    <t>(단위:원)</t>
  </si>
  <si>
    <t xml:space="preserve">    3.기타의기타자산</t>
  </si>
  <si>
    <t xml:space="preserve">     (감가상각누계액)</t>
  </si>
  <si>
    <t>현금유출</t>
  </si>
  <si>
    <t>유출무관</t>
  </si>
  <si>
    <t>유입무관</t>
  </si>
  <si>
    <t>현금유입</t>
  </si>
  <si>
    <t>학교법인 을지학원(을지대학병원)</t>
  </si>
  <si>
    <t>기타 수입</t>
  </si>
  <si>
    <t>자 금 계 산 서 총 괄 표</t>
  </si>
  <si>
    <t xml:space="preserve"> </t>
  </si>
  <si>
    <t xml:space="preserve">  1. 수입의 부</t>
  </si>
  <si>
    <t>외래수입</t>
  </si>
  <si>
    <t>기타수입</t>
  </si>
  <si>
    <t>5200전입금및기부수입</t>
  </si>
  <si>
    <t xml:space="preserve"> 5210 전입금수입</t>
  </si>
  <si>
    <t>5213 자산전입금</t>
  </si>
  <si>
    <t>5424 단체퇴직충당금환입</t>
  </si>
  <si>
    <t>5425 외환차익</t>
  </si>
  <si>
    <t>5428 고정자산처분이익</t>
  </si>
  <si>
    <t>2221 임대보증금 수입</t>
  </si>
  <si>
    <t>2. 지출의 부</t>
  </si>
  <si>
    <t>예산현액</t>
  </si>
  <si>
    <t>예비비사용액</t>
  </si>
  <si>
    <t>전용증감액</t>
  </si>
  <si>
    <t>차감액</t>
  </si>
  <si>
    <t>4127 직 원 퇴 직 금</t>
  </si>
  <si>
    <t xml:space="preserve"> 4210 시설 관리비</t>
  </si>
  <si>
    <t>4217 리스 임차료</t>
  </si>
  <si>
    <t>4244 혈  액  비</t>
  </si>
  <si>
    <t>4423 고정자산처분손실</t>
  </si>
  <si>
    <t>4424 기  부  금</t>
  </si>
  <si>
    <t>4425 진료비감액</t>
  </si>
  <si>
    <t>4426 기타비용</t>
  </si>
  <si>
    <t>4514 법인전출금</t>
  </si>
  <si>
    <t>진료비감면</t>
  </si>
  <si>
    <t>진료비에누리</t>
  </si>
  <si>
    <t>진료비 감 액</t>
  </si>
  <si>
    <t xml:space="preserve"> 1220 투자자산지출</t>
  </si>
  <si>
    <t>1221 투자유가증권매입대</t>
  </si>
  <si>
    <t>1222 출자금지출</t>
  </si>
  <si>
    <t>(전기)</t>
  </si>
  <si>
    <t>관리운영비</t>
  </si>
  <si>
    <t>(전기)</t>
  </si>
  <si>
    <t>전출금</t>
  </si>
  <si>
    <t>진료비감면</t>
  </si>
  <si>
    <t>유동자산수입</t>
  </si>
  <si>
    <t>유동부채입금</t>
  </si>
  <si>
    <t xml:space="preserve">    2.고유목적준비금</t>
  </si>
  <si>
    <t xml:space="preserve">    3.환 율 조 정 대</t>
  </si>
  <si>
    <t xml:space="preserve">    1.의료발전준비금</t>
  </si>
  <si>
    <t xml:space="preserve"> 8.의료발전준비금환입</t>
  </si>
  <si>
    <t xml:space="preserve"> 10.수 입 임 대 료</t>
  </si>
  <si>
    <t xml:space="preserve"> 13.잡    수   익</t>
  </si>
  <si>
    <t xml:space="preserve"> 14.기    부   금</t>
  </si>
  <si>
    <t>2224 의료발전준비금</t>
  </si>
  <si>
    <t>2225 고유목적사업준비금</t>
  </si>
  <si>
    <t>5431 의료발전준비금환입</t>
  </si>
  <si>
    <t>3.의료소모품비</t>
  </si>
  <si>
    <t xml:space="preserve"> 9.유가증권평가손실</t>
  </si>
  <si>
    <t>급식재료</t>
  </si>
  <si>
    <t>퇴직연금운용자산</t>
  </si>
  <si>
    <t>외상매입금</t>
  </si>
  <si>
    <t>선수금</t>
  </si>
  <si>
    <t>감가상각누계액</t>
  </si>
  <si>
    <t>퇴직보험충당금</t>
  </si>
  <si>
    <t>의료발전준비금</t>
  </si>
  <si>
    <t>장례용품수익</t>
  </si>
  <si>
    <t>음식수익</t>
  </si>
  <si>
    <t>평생교육원수강료수익</t>
  </si>
  <si>
    <t>급식재료비</t>
  </si>
  <si>
    <t>장례용품비</t>
  </si>
  <si>
    <t>퇴직급여</t>
  </si>
  <si>
    <t>퇴직보험충당금전입액</t>
  </si>
  <si>
    <t>수도광열비</t>
  </si>
  <si>
    <t>교육부대수익</t>
  </si>
  <si>
    <t>고유목적사업준비금환입액</t>
  </si>
  <si>
    <t>의료발전준비금환입</t>
  </si>
  <si>
    <t>기부수익</t>
  </si>
  <si>
    <t>수입임대료</t>
  </si>
  <si>
    <t>외화환산이익</t>
  </si>
  <si>
    <t>잡수익</t>
  </si>
  <si>
    <t>기부금(전출금)</t>
  </si>
  <si>
    <t>고유목적사업준비금전입액</t>
  </si>
  <si>
    <t>고정자산처분이익</t>
  </si>
  <si>
    <t>차기이월자금</t>
  </si>
  <si>
    <t xml:space="preserve">    3.부 가 세 예 수 금</t>
  </si>
  <si>
    <t xml:space="preserve">    5.선    수    금</t>
  </si>
  <si>
    <t>국고보조금</t>
  </si>
  <si>
    <t>국고보조금</t>
  </si>
  <si>
    <t>전기오류수정이익</t>
  </si>
  <si>
    <t>전기오류수정이익</t>
  </si>
  <si>
    <t>전기오류수정손실</t>
  </si>
  <si>
    <t xml:space="preserve"> 3.전기오류수정이익</t>
  </si>
  <si>
    <t>매도가능증권감액충당금</t>
  </si>
  <si>
    <t>유가증권처분손실</t>
  </si>
  <si>
    <t>투자유가증권</t>
  </si>
  <si>
    <t xml:space="preserve">    (감 액 충 당 금)</t>
  </si>
  <si>
    <t>(국고보조금차감계정)</t>
  </si>
  <si>
    <t xml:space="preserve">    1.매도가능증권</t>
  </si>
  <si>
    <t>2223 투자유가증권평가충당금</t>
  </si>
  <si>
    <t>퇴직보험예치금</t>
  </si>
  <si>
    <t>1243 퇴직연금예치금(퇴직)</t>
  </si>
  <si>
    <t xml:space="preserve">    (퇴직연금운영자산)</t>
  </si>
  <si>
    <t xml:space="preserve">    4.가  지  급  금</t>
  </si>
  <si>
    <t xml:space="preserve">     퇴직보험예치금(-)</t>
  </si>
  <si>
    <t xml:space="preserve">     퇴직연금운영자산(-)</t>
  </si>
  <si>
    <t>4232 직원법정부담금</t>
  </si>
  <si>
    <t>4233 교 육 훈 련 비</t>
  </si>
  <si>
    <t>4233 교 육 훈 련 비</t>
  </si>
  <si>
    <t>4234 일 반 용 역 비</t>
  </si>
  <si>
    <t>4235 업 무 추 진 비</t>
  </si>
  <si>
    <t>4236 홍    보    비</t>
  </si>
  <si>
    <t>4237 회    의    비</t>
  </si>
  <si>
    <t>4238 행    사    비</t>
  </si>
  <si>
    <t xml:space="preserve"> 5430 수익재산수입</t>
  </si>
  <si>
    <t>3112 기본금 조정</t>
  </si>
  <si>
    <t>학)을지대학교병원</t>
  </si>
  <si>
    <t>4124 직원법정부담금</t>
  </si>
  <si>
    <t>매도가능증권평가손익</t>
  </si>
  <si>
    <t>Ⅱ.기본금조정</t>
  </si>
  <si>
    <t xml:space="preserve">    1.매도가능증권평가손익</t>
  </si>
  <si>
    <t>진료비감면</t>
  </si>
  <si>
    <t>연구비</t>
  </si>
  <si>
    <t>연구용역수입</t>
  </si>
  <si>
    <t xml:space="preserve"> 11.연구 용역수입</t>
  </si>
  <si>
    <t xml:space="preserve"> 12.외화 환산이익</t>
  </si>
  <si>
    <t>5432 연구용역수입</t>
  </si>
  <si>
    <t>5426 연구용역수입</t>
  </si>
  <si>
    <t xml:space="preserve"> 1330 무형 고정자산</t>
  </si>
  <si>
    <t>1331 무형고정자산</t>
  </si>
  <si>
    <t>1315 의 료 기 기</t>
  </si>
  <si>
    <t>1314 기 계 장 치</t>
  </si>
  <si>
    <t>1316 집 기 비 품</t>
  </si>
  <si>
    <t>1317 차량운반구</t>
  </si>
  <si>
    <t>1318 금융리스자산</t>
  </si>
  <si>
    <t>기타기본금</t>
  </si>
  <si>
    <t xml:space="preserve">    2.기 타 기 본 금</t>
  </si>
  <si>
    <t xml:space="preserve">    1.출    연    금</t>
  </si>
  <si>
    <t>무형고정자산</t>
  </si>
  <si>
    <t>OCS상 잔액</t>
  </si>
  <si>
    <t xml:space="preserve"> (2)무 형 고 정 자 산</t>
  </si>
  <si>
    <t>◎ 을지대학교병원</t>
  </si>
  <si>
    <t>1361 무형고정자산</t>
  </si>
  <si>
    <t xml:space="preserve"> 1360무형고정자산매입지출</t>
  </si>
  <si>
    <t xml:space="preserve">     대손충당금</t>
  </si>
  <si>
    <t>5433 법인세환수액</t>
  </si>
  <si>
    <t xml:space="preserve">    1. 현금및현금성자산</t>
  </si>
  <si>
    <t xml:space="preserve">    2. 단기금융상품</t>
  </si>
  <si>
    <t>건물국고보조금</t>
  </si>
  <si>
    <t>건물국고보조금</t>
  </si>
  <si>
    <t>의료기기국고보조금</t>
  </si>
  <si>
    <t>의료기기국고보조금</t>
  </si>
  <si>
    <t>공기구비품국고보조금</t>
  </si>
  <si>
    <t>공기구비품국고보조금</t>
  </si>
  <si>
    <t>현금및현금성자산</t>
  </si>
  <si>
    <t>현금및현금성자산</t>
  </si>
  <si>
    <t>단기금융상품</t>
  </si>
  <si>
    <t>단기금융상품</t>
  </si>
  <si>
    <t>국고보조금</t>
  </si>
  <si>
    <t>무형고정자산</t>
  </si>
  <si>
    <t>매도가능증권감액충당금</t>
  </si>
  <si>
    <t>기타기본금</t>
  </si>
  <si>
    <t>연구비</t>
  </si>
  <si>
    <t>연구용역수입</t>
  </si>
  <si>
    <t>매도가능증권평가손익</t>
  </si>
  <si>
    <t>유가증권처분손실</t>
  </si>
  <si>
    <t>전기오류수정이익</t>
  </si>
  <si>
    <t>전기오류수정손실</t>
  </si>
  <si>
    <t xml:space="preserve"> 24.대 손 상 각 비</t>
  </si>
  <si>
    <t xml:space="preserve"> 7.연    구    비</t>
  </si>
  <si>
    <t xml:space="preserve"> 9.법인세환수액</t>
  </si>
  <si>
    <t>국고보조금</t>
  </si>
  <si>
    <t>Ⅴ.의  료  이  익</t>
  </si>
  <si>
    <t>Ⅵ.의  료  외 수 익</t>
  </si>
  <si>
    <t>Ⅶ.의  료 외 비 용</t>
  </si>
  <si>
    <t xml:space="preserve"> 1.이  자  수  익</t>
  </si>
  <si>
    <t xml:space="preserve"> 4.고정자산처분이익</t>
  </si>
  <si>
    <t xml:space="preserve">     법인세비용</t>
  </si>
  <si>
    <t>1125 기타유동자산수입</t>
  </si>
  <si>
    <t>받을어음</t>
  </si>
  <si>
    <t>투자유가증권</t>
  </si>
  <si>
    <t>만기보유증권</t>
  </si>
  <si>
    <t>상품권</t>
  </si>
  <si>
    <t>투자유가증권</t>
  </si>
  <si>
    <t>만기보유증권</t>
  </si>
  <si>
    <t>상품권</t>
  </si>
  <si>
    <t xml:space="preserve"> 2.유가증권처분손실</t>
  </si>
  <si>
    <t>4428 유가증권처분손실</t>
  </si>
  <si>
    <t>재원미수금</t>
  </si>
  <si>
    <t>미수금</t>
  </si>
  <si>
    <t>재원미수금</t>
  </si>
  <si>
    <t>기타의료미수금</t>
  </si>
  <si>
    <t>기타의료미수금</t>
  </si>
  <si>
    <t>미수금</t>
  </si>
  <si>
    <t xml:space="preserve">    7.기 타 의 료 미 수 금</t>
  </si>
  <si>
    <t xml:space="preserve">    8.미 수 금</t>
  </si>
  <si>
    <t xml:space="preserve">    3.만기보유증권</t>
  </si>
  <si>
    <t xml:space="preserve">    4.상품권</t>
  </si>
  <si>
    <t xml:space="preserve"> 3.전기오류수정손실</t>
  </si>
  <si>
    <t>기타유형자산</t>
  </si>
  <si>
    <t>기타유형자산</t>
  </si>
  <si>
    <t xml:space="preserve">    2.기타유형자산</t>
  </si>
  <si>
    <t>1321 건설가계정</t>
  </si>
  <si>
    <t>제수당</t>
  </si>
  <si>
    <t>제수당</t>
  </si>
  <si>
    <t xml:space="preserve"> 7. 제      수      당</t>
  </si>
  <si>
    <t xml:space="preserve"> 8. 퇴   직    급   여</t>
  </si>
  <si>
    <t xml:space="preserve"> 9. 잡              급</t>
  </si>
  <si>
    <t xml:space="preserve"> 10. 법  정  부  담  금</t>
  </si>
  <si>
    <t xml:space="preserve"> 11.단체퇴직충당금전입액</t>
  </si>
  <si>
    <t xml:space="preserve"> 12.퇴직급여충당금전입액</t>
  </si>
  <si>
    <t xml:space="preserve"> 13.복 리 후 생 비</t>
  </si>
  <si>
    <t xml:space="preserve"> 14.여 비 교 통 비</t>
  </si>
  <si>
    <t xml:space="preserve"> 15.동    력    비</t>
  </si>
  <si>
    <t xml:space="preserve"> 16.제 세 공 과 금</t>
  </si>
  <si>
    <t xml:space="preserve"> 17.소  모  품  비</t>
  </si>
  <si>
    <t xml:space="preserve"> 18.리    스    료</t>
  </si>
  <si>
    <t xml:space="preserve"> 19.도 서 인 쇄 비</t>
  </si>
  <si>
    <t xml:space="preserve"> 20.감 가 상 각 비</t>
  </si>
  <si>
    <t xml:space="preserve"> 21.지 급 수 수 료</t>
  </si>
  <si>
    <t xml:space="preserve"> 22.외 부 검 사 료</t>
  </si>
  <si>
    <t xml:space="preserve"> 23.외 주 용 역 비</t>
  </si>
  <si>
    <t xml:space="preserve"> 24.수 선 유 지 비</t>
  </si>
  <si>
    <t xml:space="preserve"> 25.보    험    료</t>
  </si>
  <si>
    <t xml:space="preserve"> 26.교 육 훈 련 비</t>
  </si>
  <si>
    <t>2.제  수  당</t>
  </si>
  <si>
    <t>3.법정부담금</t>
  </si>
  <si>
    <t>4.퇴  직  금</t>
  </si>
  <si>
    <t>5.잡      급</t>
  </si>
  <si>
    <t xml:space="preserve">     대손충당금</t>
  </si>
  <si>
    <t>第35期 2017年 3月 1日 부터 2018年 2月 28日 까지</t>
  </si>
  <si>
    <t>0001</t>
  </si>
  <si>
    <t>1  0</t>
  </si>
  <si>
    <t>*** 자                산 ***</t>
  </si>
  <si>
    <t>N</t>
  </si>
  <si>
    <t>1</t>
  </si>
  <si>
    <t>20180301</t>
  </si>
  <si>
    <t>20190228</t>
  </si>
  <si>
    <t>4</t>
  </si>
  <si>
    <t>학)을지대학교병원</t>
  </si>
  <si>
    <t>0002</t>
  </si>
  <si>
    <t>1000</t>
  </si>
  <si>
    <t>&lt;&lt; 유    동    자    산 &gt;&gt;</t>
  </si>
  <si>
    <t>관</t>
  </si>
  <si>
    <t>0003</t>
  </si>
  <si>
    <t>1100</t>
  </si>
  <si>
    <t>&lt; 당    좌    자    산 &gt;</t>
  </si>
  <si>
    <t>항</t>
  </si>
  <si>
    <t>0010</t>
  </si>
  <si>
    <t>1110</t>
  </si>
  <si>
    <t>현                금</t>
  </si>
  <si>
    <t>Y</t>
  </si>
  <si>
    <t>0020</t>
  </si>
  <si>
    <t>1120</t>
  </si>
  <si>
    <t>예                금</t>
  </si>
  <si>
    <t>0025</t>
  </si>
  <si>
    <t>1125</t>
  </si>
  <si>
    <t>국  고    보  조  금</t>
  </si>
  <si>
    <t>2</t>
  </si>
  <si>
    <t>0030</t>
  </si>
  <si>
    <t>1130</t>
  </si>
  <si>
    <t>유   가     증    권</t>
  </si>
  <si>
    <t>0040</t>
  </si>
  <si>
    <t>1140</t>
  </si>
  <si>
    <t>입  원   미  수   금</t>
  </si>
  <si>
    <t>0050</t>
  </si>
  <si>
    <t>1150</t>
  </si>
  <si>
    <t>퇴  원   미  수   금</t>
  </si>
  <si>
    <t>0060</t>
  </si>
  <si>
    <t>1160</t>
  </si>
  <si>
    <t>외  래   미  수   금</t>
  </si>
  <si>
    <t>0070</t>
  </si>
  <si>
    <t>1170</t>
  </si>
  <si>
    <t>기  타   미  수   금</t>
  </si>
  <si>
    <t>0071</t>
  </si>
  <si>
    <t>1171</t>
  </si>
  <si>
    <t>산 업 보 건 미 수 금</t>
  </si>
  <si>
    <t>0075</t>
  </si>
  <si>
    <t>1175</t>
  </si>
  <si>
    <t>카  드   미  수   금</t>
  </si>
  <si>
    <t>0076</t>
  </si>
  <si>
    <t>1177</t>
  </si>
  <si>
    <t>상 품 권 미  수   금</t>
  </si>
  <si>
    <t>0080</t>
  </si>
  <si>
    <t>1180</t>
  </si>
  <si>
    <t>받   을     어    음</t>
  </si>
  <si>
    <t>0085</t>
  </si>
  <si>
    <t>1210</t>
  </si>
  <si>
    <t>미   수     수    익</t>
  </si>
  <si>
    <t>0090</t>
  </si>
  <si>
    <t>1290</t>
  </si>
  <si>
    <t>외  상   매  출   금</t>
  </si>
  <si>
    <t>0100</t>
  </si>
  <si>
    <t>1300</t>
  </si>
  <si>
    <t>&lt; 재   고     자    산 &gt;</t>
  </si>
  <si>
    <t>0110</t>
  </si>
  <si>
    <t>1310</t>
  </si>
  <si>
    <t>약                품</t>
  </si>
  <si>
    <t>0120</t>
  </si>
  <si>
    <t>1320</t>
  </si>
  <si>
    <t>진   료      재   료</t>
  </si>
  <si>
    <t>0130</t>
  </si>
  <si>
    <t>1330</t>
  </si>
  <si>
    <t>의  료   소  모   품</t>
  </si>
  <si>
    <t>0140</t>
  </si>
  <si>
    <t>1340</t>
  </si>
  <si>
    <t>급   식      재   료</t>
  </si>
  <si>
    <t>0150</t>
  </si>
  <si>
    <t>1350</t>
  </si>
  <si>
    <t>일   반  저  장   품</t>
  </si>
  <si>
    <t>0160</t>
  </si>
  <si>
    <t>1360</t>
  </si>
  <si>
    <t>미       착       품</t>
  </si>
  <si>
    <t>0170</t>
  </si>
  <si>
    <t>1390</t>
  </si>
  <si>
    <t>기 타  재 고  자  산</t>
  </si>
  <si>
    <t>0180</t>
  </si>
  <si>
    <t>1400</t>
  </si>
  <si>
    <t>&lt; 기 타  유 동  자  산 &gt;</t>
  </si>
  <si>
    <t>0190</t>
  </si>
  <si>
    <t>1410</t>
  </si>
  <si>
    <t>선       급       금</t>
  </si>
  <si>
    <t>0200</t>
  </si>
  <si>
    <t>1420</t>
  </si>
  <si>
    <t>선    급    비    용</t>
  </si>
  <si>
    <t>0210</t>
  </si>
  <si>
    <t>1430</t>
  </si>
  <si>
    <t>선    급    제    세</t>
  </si>
  <si>
    <t>0220</t>
  </si>
  <si>
    <t>1450</t>
  </si>
  <si>
    <t>가    지    급    금</t>
  </si>
  <si>
    <t>0230</t>
  </si>
  <si>
    <t>1460</t>
  </si>
  <si>
    <t>전       도       금</t>
  </si>
  <si>
    <t>0240</t>
  </si>
  <si>
    <t>1470</t>
  </si>
  <si>
    <t>국민  연금  전 환 금</t>
  </si>
  <si>
    <t>0250</t>
  </si>
  <si>
    <t>1480</t>
  </si>
  <si>
    <t>퇴직  보험  예 치 금</t>
  </si>
  <si>
    <t>0251</t>
  </si>
  <si>
    <t>1481</t>
  </si>
  <si>
    <t>퇴직연금 운용자산</t>
  </si>
  <si>
    <t>0260</t>
  </si>
  <si>
    <t>1590</t>
  </si>
  <si>
    <t>기 타  유  동  자 산</t>
  </si>
  <si>
    <t>0270</t>
  </si>
  <si>
    <t>1600</t>
  </si>
  <si>
    <t>&lt;&lt; 투 자 와 기 타 자 산 &gt;&gt;</t>
  </si>
  <si>
    <t>0280</t>
  </si>
  <si>
    <t>1700</t>
  </si>
  <si>
    <t>&lt; 투    자    자    산 &gt;</t>
  </si>
  <si>
    <t>0281</t>
  </si>
  <si>
    <t>1720</t>
  </si>
  <si>
    <t>투 자  유  가  증 권</t>
  </si>
  <si>
    <t>0283</t>
  </si>
  <si>
    <t>1730</t>
  </si>
  <si>
    <t>만 기  보  유  증 권</t>
  </si>
  <si>
    <t>0284</t>
  </si>
  <si>
    <t>1740</t>
  </si>
  <si>
    <t>상      품      권</t>
  </si>
  <si>
    <t>0282</t>
  </si>
  <si>
    <t>1790</t>
  </si>
  <si>
    <t>기 타  투  자  자 산</t>
  </si>
  <si>
    <t>0290</t>
  </si>
  <si>
    <t>1800</t>
  </si>
  <si>
    <t>&lt; 기    타    자    산 &gt;</t>
  </si>
  <si>
    <t>0300</t>
  </si>
  <si>
    <t>1810</t>
  </si>
  <si>
    <t>장  기  대   여   금</t>
  </si>
  <si>
    <t>0310</t>
  </si>
  <si>
    <t>1820</t>
  </si>
  <si>
    <t>특 정  현  금  예 금</t>
  </si>
  <si>
    <t>0320</t>
  </si>
  <si>
    <t>1830</t>
  </si>
  <si>
    <t>전       세       권</t>
  </si>
  <si>
    <t>0330</t>
  </si>
  <si>
    <t>1840</t>
  </si>
  <si>
    <t>전 신 전 화 가 입 권</t>
  </si>
  <si>
    <t>0340</t>
  </si>
  <si>
    <t>1850</t>
  </si>
  <si>
    <t>임  차  보   증   금</t>
  </si>
  <si>
    <t>0350</t>
  </si>
  <si>
    <t>1860</t>
  </si>
  <si>
    <t>단체 퇴직보험 예치금</t>
  </si>
  <si>
    <t>0360</t>
  </si>
  <si>
    <t>1870</t>
  </si>
  <si>
    <t>부    도    어    음</t>
  </si>
  <si>
    <t>0370</t>
  </si>
  <si>
    <t>1890</t>
  </si>
  <si>
    <t>기 타 의 기 타 자 산</t>
  </si>
  <si>
    <t>0380</t>
  </si>
  <si>
    <t>2000</t>
  </si>
  <si>
    <t>&lt;&lt; 고    정    자    산 &gt;&gt;</t>
  </si>
  <si>
    <t>0390</t>
  </si>
  <si>
    <t>2100</t>
  </si>
  <si>
    <t>&lt; 유 형  고  정  자 산 &gt;</t>
  </si>
  <si>
    <t>0400</t>
  </si>
  <si>
    <t>2110</t>
  </si>
  <si>
    <t>토                지</t>
  </si>
  <si>
    <t>0410</t>
  </si>
  <si>
    <t>2120</t>
  </si>
  <si>
    <t>건                물</t>
  </si>
  <si>
    <t>0420</t>
  </si>
  <si>
    <t>2130</t>
  </si>
  <si>
    <t>구      축        물</t>
  </si>
  <si>
    <t>0430</t>
  </si>
  <si>
    <t>2140</t>
  </si>
  <si>
    <t>기    계    장    치</t>
  </si>
  <si>
    <t>0440</t>
  </si>
  <si>
    <t>2150</t>
  </si>
  <si>
    <t>의    료    기    기</t>
  </si>
  <si>
    <t>0450</t>
  </si>
  <si>
    <t>2160</t>
  </si>
  <si>
    <t>차  량   운  반   구</t>
  </si>
  <si>
    <t>0460</t>
  </si>
  <si>
    <t>2170</t>
  </si>
  <si>
    <t>공  기   구  비   품</t>
  </si>
  <si>
    <t>0470</t>
  </si>
  <si>
    <t>2180</t>
  </si>
  <si>
    <t>금 융  리 스  자  산</t>
  </si>
  <si>
    <t>0480</t>
  </si>
  <si>
    <t>2190</t>
  </si>
  <si>
    <t>동 위  원 소  재  료</t>
  </si>
  <si>
    <t>0490</t>
  </si>
  <si>
    <t>2210</t>
  </si>
  <si>
    <t>건 설  중 인  자  산</t>
  </si>
  <si>
    <t>0500</t>
  </si>
  <si>
    <t>2300</t>
  </si>
  <si>
    <t>무 형  고 정  자  산</t>
  </si>
  <si>
    <t>0510</t>
  </si>
  <si>
    <t>2600</t>
  </si>
  <si>
    <t>이    연    자    산</t>
  </si>
  <si>
    <t>0520</t>
  </si>
  <si>
    <t>2610</t>
  </si>
  <si>
    <t>창       업       비</t>
  </si>
  <si>
    <t>0530</t>
  </si>
  <si>
    <t>2700</t>
  </si>
  <si>
    <t>본       지       점</t>
  </si>
  <si>
    <t>0540</t>
  </si>
  <si>
    <t>3  0</t>
  </si>
  <si>
    <t>*** 부                채 ***</t>
  </si>
  <si>
    <t>0550</t>
  </si>
  <si>
    <t>3000</t>
  </si>
  <si>
    <t>&lt;&lt; 유   동    부     채 &gt;&gt;</t>
  </si>
  <si>
    <t>0560</t>
  </si>
  <si>
    <t>3110</t>
  </si>
  <si>
    <t>외  상   매   입  금</t>
  </si>
  <si>
    <t>0570</t>
  </si>
  <si>
    <t>3120</t>
  </si>
  <si>
    <t>지    급    어    음</t>
  </si>
  <si>
    <t>0580</t>
  </si>
  <si>
    <t>3130</t>
  </si>
  <si>
    <t>미    지    급    금</t>
  </si>
  <si>
    <t>0585</t>
  </si>
  <si>
    <t>3140</t>
  </si>
  <si>
    <t>미  지  급   비   용</t>
  </si>
  <si>
    <t>0586</t>
  </si>
  <si>
    <t>3310</t>
  </si>
  <si>
    <t>예  수  보   증   금</t>
  </si>
  <si>
    <t>0590</t>
  </si>
  <si>
    <t>3320</t>
  </si>
  <si>
    <t>예       수       금</t>
  </si>
  <si>
    <t>0600</t>
  </si>
  <si>
    <t>3330</t>
  </si>
  <si>
    <t>선       수       금</t>
  </si>
  <si>
    <t>0610</t>
  </si>
  <si>
    <t>3340</t>
  </si>
  <si>
    <t>선   수    수     익</t>
  </si>
  <si>
    <t>0620</t>
  </si>
  <si>
    <t>3350</t>
  </si>
  <si>
    <t>단기 부 채 성 충당금</t>
  </si>
  <si>
    <t>0630</t>
  </si>
  <si>
    <t>3360</t>
  </si>
  <si>
    <t>대   손   충  당  금</t>
  </si>
  <si>
    <t>0640</t>
  </si>
  <si>
    <t>3370</t>
  </si>
  <si>
    <t>미   지   급  제  세</t>
  </si>
  <si>
    <t>0650</t>
  </si>
  <si>
    <t>3380</t>
  </si>
  <si>
    <t>가       수       금</t>
  </si>
  <si>
    <t>0660</t>
  </si>
  <si>
    <t>3390</t>
  </si>
  <si>
    <t>기 타 유 동   부  채</t>
  </si>
  <si>
    <t>0665</t>
  </si>
  <si>
    <t>3400</t>
  </si>
  <si>
    <t>&lt;국  고  보   조   금&gt;</t>
  </si>
  <si>
    <t>0411</t>
  </si>
  <si>
    <t>3412</t>
  </si>
  <si>
    <t>건 물 국 고 보 조 금</t>
  </si>
  <si>
    <t>0421</t>
  </si>
  <si>
    <t>3413</t>
  </si>
  <si>
    <t>구축물국고보조금</t>
  </si>
  <si>
    <t>0431</t>
  </si>
  <si>
    <t>3414</t>
  </si>
  <si>
    <t>기계장치국고보조금</t>
  </si>
  <si>
    <t>0441</t>
  </si>
  <si>
    <t>3415</t>
  </si>
  <si>
    <t>의료기기  국고보조금</t>
  </si>
  <si>
    <t>0451</t>
  </si>
  <si>
    <t>3416</t>
  </si>
  <si>
    <t>차량운반구국고보조금</t>
  </si>
  <si>
    <t>0461</t>
  </si>
  <si>
    <t>3417</t>
  </si>
  <si>
    <t>0495</t>
  </si>
  <si>
    <t>3418</t>
  </si>
  <si>
    <t>건설가계정국고보조금</t>
  </si>
  <si>
    <t>0670</t>
  </si>
  <si>
    <t>3500</t>
  </si>
  <si>
    <t>&lt;&lt; 고   정    부     채 &gt;&gt;</t>
  </si>
  <si>
    <t>0675</t>
  </si>
  <si>
    <t>3610</t>
  </si>
  <si>
    <t>장  기  차   입   금</t>
  </si>
  <si>
    <t>0680</t>
  </si>
  <si>
    <t>3630</t>
  </si>
  <si>
    <t>금융  리스  미지급금</t>
  </si>
  <si>
    <t>0685</t>
  </si>
  <si>
    <t>3640</t>
  </si>
  <si>
    <t>장 기  미  지  급 금</t>
  </si>
  <si>
    <t>0690</t>
  </si>
  <si>
    <t>3700</t>
  </si>
  <si>
    <t>&lt;장 기  제 충  당  금&gt;</t>
  </si>
  <si>
    <t>0700</t>
  </si>
  <si>
    <t>3710</t>
  </si>
  <si>
    <t>감 가 상 각 충 당 금</t>
  </si>
  <si>
    <t>0701</t>
  </si>
  <si>
    <t>3730</t>
  </si>
  <si>
    <t>퇴 직 급 여 충 당 금</t>
  </si>
  <si>
    <t>0705</t>
  </si>
  <si>
    <t>3750</t>
  </si>
  <si>
    <t>퇴 직 보 험 충 당 금</t>
  </si>
  <si>
    <t>0706</t>
  </si>
  <si>
    <t>3760</t>
  </si>
  <si>
    <t>투자유가증권 평가충당금</t>
  </si>
  <si>
    <t>0708</t>
  </si>
  <si>
    <t>3770</t>
  </si>
  <si>
    <t>의 료 발 전 준 비 금</t>
  </si>
  <si>
    <t>0710</t>
  </si>
  <si>
    <t>3800</t>
  </si>
  <si>
    <t>&lt;&lt; 이   연    부     채 &gt;&gt;</t>
  </si>
  <si>
    <t>0720</t>
  </si>
  <si>
    <t>3930</t>
  </si>
  <si>
    <t>고유목적 사업 준비금</t>
  </si>
  <si>
    <t>0750</t>
  </si>
  <si>
    <t>4100</t>
  </si>
  <si>
    <t>&lt;&lt; 출       연       금 &gt;&gt;</t>
  </si>
  <si>
    <t>0760</t>
  </si>
  <si>
    <t>4110</t>
  </si>
  <si>
    <t>출       연       금</t>
  </si>
  <si>
    <t>0762</t>
  </si>
  <si>
    <t>4150</t>
  </si>
  <si>
    <t>기   타   기  본  금</t>
  </si>
  <si>
    <t>0761</t>
  </si>
  <si>
    <t>4152</t>
  </si>
  <si>
    <t>0770</t>
  </si>
  <si>
    <t>4200</t>
  </si>
  <si>
    <t>&lt;&lt; 이  익   잉  여   금 &gt;&gt;</t>
  </si>
  <si>
    <t>0780</t>
  </si>
  <si>
    <t>4210</t>
  </si>
  <si>
    <t>자산 재평가 적 립 금</t>
  </si>
  <si>
    <t>0790</t>
  </si>
  <si>
    <t>4220</t>
  </si>
  <si>
    <t>임의 평  가 적 립 금</t>
  </si>
  <si>
    <t>0800</t>
  </si>
  <si>
    <t>4230</t>
  </si>
  <si>
    <t>임  의  적   립   금</t>
  </si>
  <si>
    <t>0810</t>
  </si>
  <si>
    <t>4240</t>
  </si>
  <si>
    <t>보       조       금</t>
  </si>
  <si>
    <t>0820</t>
  </si>
  <si>
    <t>4250</t>
  </si>
  <si>
    <t>기업 합 리 화 적립금</t>
  </si>
  <si>
    <t>0830</t>
  </si>
  <si>
    <t>4710</t>
  </si>
  <si>
    <t>차기 이월 이익잉여금</t>
  </si>
  <si>
    <t>0840</t>
  </si>
  <si>
    <t>4711</t>
  </si>
  <si>
    <t>전기 이월 이익잉여금</t>
  </si>
  <si>
    <t>0850</t>
  </si>
  <si>
    <t>4712</t>
  </si>
  <si>
    <t>당기순이익</t>
  </si>
  <si>
    <t>0860</t>
  </si>
  <si>
    <t>4800</t>
  </si>
  <si>
    <t>&lt;&lt; 미 처 리  잉  여  금 &gt;&gt;</t>
  </si>
  <si>
    <t>0890</t>
  </si>
  <si>
    <t>5  0</t>
  </si>
  <si>
    <t>*** 손                익 ***</t>
  </si>
  <si>
    <t>0900</t>
  </si>
  <si>
    <t>5000</t>
  </si>
  <si>
    <t>&lt;&lt; 의    료    수    익 &gt;&gt;</t>
  </si>
  <si>
    <t>0920</t>
  </si>
  <si>
    <t>5110</t>
  </si>
  <si>
    <t>입    원    수    익</t>
  </si>
  <si>
    <t>0930</t>
  </si>
  <si>
    <t>5120</t>
  </si>
  <si>
    <t>외    래    수    익</t>
  </si>
  <si>
    <t>0940</t>
  </si>
  <si>
    <t>5190</t>
  </si>
  <si>
    <t>기 타  의  료  수 익</t>
  </si>
  <si>
    <t>0950</t>
  </si>
  <si>
    <t>5300</t>
  </si>
  <si>
    <t>&lt;의 료  수  익  조 정&gt;</t>
  </si>
  <si>
    <t>0960</t>
  </si>
  <si>
    <t>5310</t>
  </si>
  <si>
    <t>진  료  비   감   면</t>
  </si>
  <si>
    <t>0970</t>
  </si>
  <si>
    <t>6000</t>
  </si>
  <si>
    <t>&lt;&lt; 의    료    비    용 &gt;&gt;</t>
  </si>
  <si>
    <t>0980</t>
  </si>
  <si>
    <t>6100</t>
  </si>
  <si>
    <t>&lt;재       료       비&gt;</t>
  </si>
  <si>
    <t>0990</t>
  </si>
  <si>
    <t>6110</t>
  </si>
  <si>
    <t>약       품       비</t>
  </si>
  <si>
    <t>6120</t>
  </si>
  <si>
    <t>진  료   재  료   비</t>
  </si>
  <si>
    <t>1010</t>
  </si>
  <si>
    <t>6130</t>
  </si>
  <si>
    <t>의 료 소  모  품  비</t>
  </si>
  <si>
    <t>1020</t>
  </si>
  <si>
    <t>6140</t>
  </si>
  <si>
    <t>급  식   재  료   비</t>
  </si>
  <si>
    <t>1030</t>
  </si>
  <si>
    <t>6200</t>
  </si>
  <si>
    <t>&lt;인     건       비&gt;</t>
  </si>
  <si>
    <t>1040</t>
  </si>
  <si>
    <t>6210</t>
  </si>
  <si>
    <t>급                여</t>
  </si>
  <si>
    <t>1050</t>
  </si>
  <si>
    <t>6240</t>
  </si>
  <si>
    <t>잡                급</t>
  </si>
  <si>
    <t>1060</t>
  </si>
  <si>
    <t>6260</t>
  </si>
  <si>
    <t>퇴직 급여 충당금 전입액</t>
  </si>
  <si>
    <t>1055</t>
  </si>
  <si>
    <t>6280</t>
  </si>
  <si>
    <t>법  정   부   담  금</t>
  </si>
  <si>
    <t>1061</t>
  </si>
  <si>
    <t>6300</t>
  </si>
  <si>
    <t>&lt;경              비&gt;</t>
  </si>
  <si>
    <t>1080</t>
  </si>
  <si>
    <t>6310</t>
  </si>
  <si>
    <t>복  리  후   생   비</t>
  </si>
  <si>
    <t>1090</t>
  </si>
  <si>
    <t>6320</t>
  </si>
  <si>
    <t>여  비  교   통   비</t>
  </si>
  <si>
    <t>6330</t>
  </si>
  <si>
    <t>통       신       비</t>
  </si>
  <si>
    <t>6340</t>
  </si>
  <si>
    <t>동       력       비</t>
  </si>
  <si>
    <t>6360</t>
  </si>
  <si>
    <t>제  세   공  과   금</t>
  </si>
  <si>
    <t>6370</t>
  </si>
  <si>
    <t>소    모    품    비</t>
  </si>
  <si>
    <t>6380</t>
  </si>
  <si>
    <t>리       스       료</t>
  </si>
  <si>
    <t>6410</t>
  </si>
  <si>
    <t>도  서   인  쇄   비</t>
  </si>
  <si>
    <t>6420</t>
  </si>
  <si>
    <t>감  가   상  각   비</t>
  </si>
  <si>
    <t>6430</t>
  </si>
  <si>
    <t>의 료 기 기 임 차 료</t>
  </si>
  <si>
    <t>6440</t>
  </si>
  <si>
    <t>지  급   수  수   료</t>
  </si>
  <si>
    <t>1190</t>
  </si>
  <si>
    <t>6460</t>
  </si>
  <si>
    <t>외  부   검  사   료</t>
  </si>
  <si>
    <t>1200</t>
  </si>
  <si>
    <t>6470</t>
  </si>
  <si>
    <t>외  주   용  역   비</t>
  </si>
  <si>
    <t>6480</t>
  </si>
  <si>
    <t>수  선   유  지   비</t>
  </si>
  <si>
    <t>1220</t>
  </si>
  <si>
    <t>6510</t>
  </si>
  <si>
    <t>차  량   유  지   비</t>
  </si>
  <si>
    <t>1230</t>
  </si>
  <si>
    <t>6520</t>
  </si>
  <si>
    <t>보       험       료</t>
  </si>
  <si>
    <t>1240</t>
  </si>
  <si>
    <t>6530</t>
  </si>
  <si>
    <t>연       구       비</t>
  </si>
  <si>
    <t>1250</t>
  </si>
  <si>
    <t>6540</t>
  </si>
  <si>
    <t>운 반  및 보  관  료</t>
  </si>
  <si>
    <t>1260</t>
  </si>
  <si>
    <t>6610</t>
  </si>
  <si>
    <t>기       밀       비</t>
  </si>
  <si>
    <t>1270</t>
  </si>
  <si>
    <t>6620</t>
  </si>
  <si>
    <t>접       대       비</t>
  </si>
  <si>
    <t>1280</t>
  </si>
  <si>
    <t>6630</t>
  </si>
  <si>
    <t>광 고   선   전   비</t>
  </si>
  <si>
    <t>6640</t>
  </si>
  <si>
    <t>교   육   훈  련  비</t>
  </si>
  <si>
    <t>6650</t>
  </si>
  <si>
    <t>조   사   분  석  비</t>
  </si>
  <si>
    <t>6660</t>
  </si>
  <si>
    <t>회       의       비</t>
  </si>
  <si>
    <t>6720</t>
  </si>
  <si>
    <t>대 손   상   각   비</t>
  </si>
  <si>
    <t>6730</t>
  </si>
  <si>
    <t>대 손 충당금  전입액</t>
  </si>
  <si>
    <t>6790</t>
  </si>
  <si>
    <t>잡                비</t>
  </si>
  <si>
    <t>6800</t>
  </si>
  <si>
    <t>특    진    경    비</t>
  </si>
  <si>
    <t>7000</t>
  </si>
  <si>
    <t>&lt;&lt; 일  반   관  리   비 &gt;&gt;</t>
  </si>
  <si>
    <t>1370</t>
  </si>
  <si>
    <t>7200</t>
  </si>
  <si>
    <t>&lt;인       건       비&gt;</t>
  </si>
  <si>
    <t>1380</t>
  </si>
  <si>
    <t>7210</t>
  </si>
  <si>
    <t>7240</t>
  </si>
  <si>
    <t>7260</t>
  </si>
  <si>
    <t>퇴직급여 충당금 전입액</t>
  </si>
  <si>
    <t>1405</t>
  </si>
  <si>
    <t>7270</t>
  </si>
  <si>
    <t>퇴    직    급    여</t>
  </si>
  <si>
    <t>1408</t>
  </si>
  <si>
    <t>7280</t>
  </si>
  <si>
    <t>1409</t>
  </si>
  <si>
    <t>7290</t>
  </si>
  <si>
    <t>퇴직보험 충당금 전입액</t>
  </si>
  <si>
    <t>7300</t>
  </si>
  <si>
    <t>&lt;경                비&gt;</t>
  </si>
  <si>
    <t>7310</t>
  </si>
  <si>
    <t>복  리   후  생   비</t>
  </si>
  <si>
    <t>7320</t>
  </si>
  <si>
    <t>여  비   교  통   비</t>
  </si>
  <si>
    <t>1440</t>
  </si>
  <si>
    <t>7330</t>
  </si>
  <si>
    <t>7340</t>
  </si>
  <si>
    <t>1465</t>
  </si>
  <si>
    <t>7360</t>
  </si>
  <si>
    <t>제  세   공   과  금</t>
  </si>
  <si>
    <t>7370</t>
  </si>
  <si>
    <t>7380</t>
  </si>
  <si>
    <t>1490</t>
  </si>
  <si>
    <t>7410</t>
  </si>
  <si>
    <t>1500</t>
  </si>
  <si>
    <t>7420</t>
  </si>
  <si>
    <t>1510</t>
  </si>
  <si>
    <t>7430</t>
  </si>
  <si>
    <t>임       차       료</t>
  </si>
  <si>
    <t>1520</t>
  </si>
  <si>
    <t>7440</t>
  </si>
  <si>
    <t>1530</t>
  </si>
  <si>
    <t>7450</t>
  </si>
  <si>
    <t>카  드   수  수   료</t>
  </si>
  <si>
    <t>1531</t>
  </si>
  <si>
    <t>7460</t>
  </si>
  <si>
    <t>지  로   수  수   료</t>
  </si>
  <si>
    <t>1540</t>
  </si>
  <si>
    <t>7470</t>
  </si>
  <si>
    <t>1550</t>
  </si>
  <si>
    <t>7480</t>
  </si>
  <si>
    <t>1560</t>
  </si>
  <si>
    <t>7510</t>
  </si>
  <si>
    <t>1570</t>
  </si>
  <si>
    <t>7520</t>
  </si>
  <si>
    <t>1580</t>
  </si>
  <si>
    <t>7540</t>
  </si>
  <si>
    <t>운  반  및  보 관 료</t>
  </si>
  <si>
    <t>7610</t>
  </si>
  <si>
    <t>7620</t>
  </si>
  <si>
    <t>1610</t>
  </si>
  <si>
    <t>7630</t>
  </si>
  <si>
    <t>광  고   선  전   비</t>
  </si>
  <si>
    <t>1620</t>
  </si>
  <si>
    <t>7640</t>
  </si>
  <si>
    <t>교  육   훈  련   비</t>
  </si>
  <si>
    <t>1630</t>
  </si>
  <si>
    <t>7650</t>
  </si>
  <si>
    <t>조  사   분  석   비</t>
  </si>
  <si>
    <t>1640</t>
  </si>
  <si>
    <t>7660</t>
  </si>
  <si>
    <t>1650</t>
  </si>
  <si>
    <t>7710</t>
  </si>
  <si>
    <t>의 료 사 회 사 업 비</t>
  </si>
  <si>
    <t>1660</t>
  </si>
  <si>
    <t>7720</t>
  </si>
  <si>
    <t>대  손   상  각   비</t>
  </si>
  <si>
    <t>1670</t>
  </si>
  <si>
    <t>7730</t>
  </si>
  <si>
    <t>1680</t>
  </si>
  <si>
    <t>7790</t>
  </si>
  <si>
    <t>1690</t>
  </si>
  <si>
    <t>8100</t>
  </si>
  <si>
    <t>&lt;&lt; 의  료   외   수  익 &gt;&gt;</t>
  </si>
  <si>
    <t>8110</t>
  </si>
  <si>
    <t>수입 이자 와  할인료</t>
  </si>
  <si>
    <t>8130</t>
  </si>
  <si>
    <t>외    환    차    익</t>
  </si>
  <si>
    <t>8140</t>
  </si>
  <si>
    <t>구  급  차   수   입</t>
  </si>
  <si>
    <t>8150</t>
  </si>
  <si>
    <t>유가 증권  처분 이익</t>
  </si>
  <si>
    <t>1750</t>
  </si>
  <si>
    <t>8160</t>
  </si>
  <si>
    <t>대 손 충 당 금 환 입</t>
  </si>
  <si>
    <t>1760</t>
  </si>
  <si>
    <t>8170</t>
  </si>
  <si>
    <t>매    입    할    인</t>
  </si>
  <si>
    <t>1770</t>
  </si>
  <si>
    <t>8180</t>
  </si>
  <si>
    <t>기  부  금   수   입</t>
  </si>
  <si>
    <t>1780</t>
  </si>
  <si>
    <t>8190</t>
  </si>
  <si>
    <t>수   입   임  대  료</t>
  </si>
  <si>
    <t>1785</t>
  </si>
  <si>
    <t>8200</t>
  </si>
  <si>
    <t>용    역    수    입</t>
  </si>
  <si>
    <t>8250</t>
  </si>
  <si>
    <t>환율  조 정 대 상 각</t>
  </si>
  <si>
    <t>8260</t>
  </si>
  <si>
    <t>외 화  평 가  이  익</t>
  </si>
  <si>
    <t>8270</t>
  </si>
  <si>
    <t>의료 투자 준비금 환입액</t>
  </si>
  <si>
    <t>8280</t>
  </si>
  <si>
    <t>용  품 판  매  대 금</t>
  </si>
  <si>
    <t>8290</t>
  </si>
  <si>
    <t>잡       수       익</t>
  </si>
  <si>
    <t>8300</t>
  </si>
  <si>
    <t>의료 발전 준비금 환입액</t>
  </si>
  <si>
    <t>1845</t>
  </si>
  <si>
    <t>8310</t>
  </si>
  <si>
    <t>8500</t>
  </si>
  <si>
    <t>&lt;&lt; 의  료   외   비  용 &gt;&gt;</t>
  </si>
  <si>
    <t>8510</t>
  </si>
  <si>
    <t>지급 이자 와  할인료</t>
  </si>
  <si>
    <t>8520</t>
  </si>
  <si>
    <t>외    환    차    손</t>
  </si>
  <si>
    <t>1880</t>
  </si>
  <si>
    <t>8530</t>
  </si>
  <si>
    <t>외  화  평 가  손 실</t>
  </si>
  <si>
    <t>8540</t>
  </si>
  <si>
    <t>기 부 금  (전 출 금)</t>
  </si>
  <si>
    <t>1900</t>
  </si>
  <si>
    <t>8550</t>
  </si>
  <si>
    <t>진  료   비  할   인</t>
  </si>
  <si>
    <t>1910</t>
  </si>
  <si>
    <t>8560</t>
  </si>
  <si>
    <t>1920</t>
  </si>
  <si>
    <t>8570</t>
  </si>
  <si>
    <t>의료 투자 준비금 전입액</t>
  </si>
  <si>
    <t>1940</t>
  </si>
  <si>
    <t>8590</t>
  </si>
  <si>
    <t>유가 증권 처분 손 실</t>
  </si>
  <si>
    <t>1941</t>
  </si>
  <si>
    <t>8591</t>
  </si>
  <si>
    <t>유가증권평가손실</t>
  </si>
  <si>
    <t>1950</t>
  </si>
  <si>
    <t>8610</t>
  </si>
  <si>
    <t>재고 자산 평가 감모손</t>
  </si>
  <si>
    <t>1960</t>
  </si>
  <si>
    <t>8620</t>
  </si>
  <si>
    <t>개 업 비  상  각  비</t>
  </si>
  <si>
    <t>1970</t>
  </si>
  <si>
    <t>8630</t>
  </si>
  <si>
    <t>시험 연구비 상 각 비</t>
  </si>
  <si>
    <t>1980</t>
  </si>
  <si>
    <t>8640</t>
  </si>
  <si>
    <t>환율 조정차 상 각 비</t>
  </si>
  <si>
    <t>1990</t>
  </si>
  <si>
    <t>8650</t>
  </si>
  <si>
    <t>기타 이연자산 상각비</t>
  </si>
  <si>
    <t>8660</t>
  </si>
  <si>
    <t>2010</t>
  </si>
  <si>
    <t>8670</t>
  </si>
  <si>
    <t>금 융 리스 지급 이자</t>
  </si>
  <si>
    <t>2020</t>
  </si>
  <si>
    <t>8690</t>
  </si>
  <si>
    <t>잡       손       실</t>
  </si>
  <si>
    <t>2030</t>
  </si>
  <si>
    <t>9100</t>
  </si>
  <si>
    <t>&lt;&lt; 특    별    이    익 &gt;&gt;</t>
  </si>
  <si>
    <t>2040</t>
  </si>
  <si>
    <t>9110</t>
  </si>
  <si>
    <t>고정 자산  처분 이익</t>
  </si>
  <si>
    <t>2050</t>
  </si>
  <si>
    <t>9120</t>
  </si>
  <si>
    <t>투자 자산  처분 이익</t>
  </si>
  <si>
    <t>2060</t>
  </si>
  <si>
    <t>9130</t>
  </si>
  <si>
    <t>상각 채권  추심 이익</t>
  </si>
  <si>
    <t>2070</t>
  </si>
  <si>
    <t>9140</t>
  </si>
  <si>
    <t>전기 오류  수정 이익</t>
  </si>
  <si>
    <t>2080</t>
  </si>
  <si>
    <t>9150</t>
  </si>
  <si>
    <t>채 무  면 제  이  익</t>
  </si>
  <si>
    <t>2090</t>
  </si>
  <si>
    <t>9190</t>
  </si>
  <si>
    <t>기 타  특 별  이  익</t>
  </si>
  <si>
    <t>9500</t>
  </si>
  <si>
    <t>&lt;&lt; 특    별    손    실 &gt;&gt;</t>
  </si>
  <si>
    <t>9510</t>
  </si>
  <si>
    <t>고정 자산  처분 손실</t>
  </si>
  <si>
    <t>9520</t>
  </si>
  <si>
    <t>투자 자산  처분 손실</t>
  </si>
  <si>
    <t>9530</t>
  </si>
  <si>
    <t>재    해    손    실</t>
  </si>
  <si>
    <t>9540</t>
  </si>
  <si>
    <t>전기 오류 수정 손 실</t>
  </si>
  <si>
    <t>9590</t>
  </si>
  <si>
    <t>기 타  특  별  손 실</t>
  </si>
  <si>
    <t>9900</t>
  </si>
  <si>
    <t>&lt;&lt; 법    인    세    등 &gt;&gt;</t>
  </si>
  <si>
    <t>9910</t>
  </si>
  <si>
    <t>법    인    세    등</t>
  </si>
  <si>
    <t xml:space="preserve">      제 35(당)기 금 액</t>
  </si>
  <si>
    <t xml:space="preserve">      제 36(당)기 금 액</t>
  </si>
  <si>
    <t>전    기</t>
  </si>
  <si>
    <t>전    기</t>
  </si>
  <si>
    <t>第36期 2019年 2月 28日 現在</t>
  </si>
  <si>
    <t>第35期 2018年 2月 28日 現在</t>
  </si>
  <si>
    <t>第36期 2018年 3月 1日 부터 2019年 2月 28日 까지</t>
  </si>
  <si>
    <t>(당기 : 2019. 2. 28 현재)</t>
  </si>
  <si>
    <t>(전기 : 2018. 2. 28 현재)</t>
  </si>
  <si>
    <t>(당기 : 2018.3.1 부터  2019.2.28까지)</t>
  </si>
  <si>
    <t>(전기 : 2017.3.1 부터  2018.2.28까지)</t>
  </si>
  <si>
    <t>(2018. 3. 1 부터  2019. 2. 28 까지)</t>
  </si>
  <si>
    <t>( 2018년3월1일부터  2019년2월28일까지)</t>
  </si>
  <si>
    <t xml:space="preserve"> - 입원수입 126,723백만원(일평균환자  698명)
 - 외래수입  63,941백만원(일평균환자1,762명) 
 - 기타수입  10,466백만원
  (종검   산업보건   수탁   9,686,687백만원)</t>
  </si>
  <si>
    <t xml:space="preserve"> - 지역개발공채만기                 10만원</t>
  </si>
  <si>
    <t xml:space="preserve">  - 급여상여금       30,738백만원(17년 27,095백만원)
  - 제  수  당       31,916백만원(17년 31,954백만원)
  - 법정부담금        6,252백만원(17년  5,779백만원)
  - 잡      급            1십만원(17년     29백만원)
  - 퇴  직  금           77백만원(17년    157백만원) </t>
  </si>
  <si>
    <t xml:space="preserve">  - 청구삭감외                          1,799백만원  </t>
  </si>
  <si>
    <t xml:space="preserve"> - 임차보증금지출                          20백만원
 - 퇴직연금                               413백만원</t>
  </si>
  <si>
    <t xml:space="preserve">  - 잡손실외       242백만원   (의료소송  99백만원)
  - 연구비(IRB)    968백만원    김경숙     35백만원
                                방경철     35백만원                                 
                                김완주     10백만원
                                김인순     10백만원
                                이도겸외    7백만원</t>
  </si>
  <si>
    <t>투자</t>
  </si>
  <si>
    <t>원래</t>
  </si>
  <si>
    <t>평가손실</t>
  </si>
  <si>
    <t>합계</t>
  </si>
  <si>
    <t>차이이유</t>
  </si>
  <si>
    <t>1230 기타유형자산</t>
  </si>
  <si>
    <t>1223 기타투자자산(삼성증권)</t>
  </si>
  <si>
    <t>1224 출 자 금</t>
  </si>
  <si>
    <t>의료수익감면</t>
  </si>
  <si>
    <t xml:space="preserve">  일반관리비</t>
  </si>
  <si>
    <t>1.법정부담금</t>
  </si>
  <si>
    <t>2.퇴  직  금</t>
  </si>
  <si>
    <t>3.잡      급</t>
  </si>
  <si>
    <t>4.퇴직충당금전입액</t>
  </si>
  <si>
    <t>5.퇴직보험충당금전입액</t>
  </si>
  <si>
    <t xml:space="preserve"> - 외상센터 국고보조금          1,580백만원
 - 결핵사업 보조금                 64백만원
 - 응급실   국고보조금             23백만원
 - 신생아 국고보조금               80백만원
 - 자살예방 보조금                 72백만원
 - 박준영이사,홍성희 총장 기부금  200백만원
 - 기타                            48백만원                 </t>
  </si>
  <si>
    <t xml:space="preserve">  - 대학 전출금                         8,770백만원   
  - 법인 전출금 등                     73,568백만원            </t>
  </si>
  <si>
    <t xml:space="preserve"> - 고정자산매각                101,910천원</t>
  </si>
  <si>
    <t xml:space="preserve"> - 수입이자                     3,029백만원
 - 임대료                       1,611백만원
 - 연구용역수입                   983백만원
 - 주차장수입                     384백만원
 - 식대                           502백만원
 - 연구간접비                     122백만원
 - 실습비                         117백만원 
 - 계약학과                        23백만원
 - 기타                           290백만원</t>
  </si>
  <si>
    <t xml:space="preserve">- 약품비     29,350백만원 - 복리후생비   618백만원
- 진료재료비 19,070백만원 - 지급수수료 1,355백만원
- 의료소모품  9,416백만원 - 제세공과금 1,389백만원     
- 급식재료비  1,228백만원 - 홍  보  비   372백만원 
- 외주용역비  8,656백만원 - 소모  품비   418백만원
- 동력비      3,142백만원 - 통  신  비   183백만원
- 수선유지비  3,102백만원 - 외주검사비 1,347백만원
- 교육훈련비    130백만원 - 기      타   521백만원   </t>
  </si>
  <si>
    <t xml:space="preserve"> - 건물(본관 리모델링 등)                  618백만원
 - 의료기기(심혈관센터 혈관촬영장치 등)  6,003백만원
 - 공기구비품(차세대서버구축 하드웨어등) 1,319백만원
 - 차량운반구(전기자동차 2대구입 등)        44백만원
 - 건설가계정(출입통제시스템 등)           448백만원
 - 무형자산(차세대서버구축 소프트웨어) 등  716백만원</t>
  </si>
  <si>
    <t>예비비사용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</si>
</sst>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_-* #,##0_-;\-* #,##0_-;_-* &quot;-&quot;??_-;_-@_-"/>
    <numFmt numFmtId="179" formatCode="#,##0_);[Red]\(#,##0\)"/>
    <numFmt numFmtId="180" formatCode="#,##0;&quot;▽&quot;#,##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0.0_ "/>
    <numFmt numFmtId="185" formatCode="_ * #,##0.00_ ;_ * \-#,##0.00_ ;_ * &quot;-&quot;??_ ;_ @_ "/>
    <numFmt numFmtId="186" formatCode="[$-412]yyyy&quot;년&quot;\ m&quot;월&quot;\ d&quot;일&quot;\ dddd"/>
    <numFmt numFmtId="187" formatCode="[$-412]AM/PM\ h:mm:ss"/>
    <numFmt numFmtId="188" formatCode="0_);[Red]\(0\)"/>
    <numFmt numFmtId="189" formatCode="#,##0_ ;[Red]\-#,##0\ "/>
    <numFmt numFmtId="190" formatCode="#,##0.00_ "/>
  </numFmts>
  <fonts count="89">
    <font>
      <sz val="12"/>
      <name val="바탕체"/>
      <family val="1"/>
    </font>
    <font>
      <sz val="11"/>
      <color indexed="8"/>
      <name val="맑은 고딕"/>
      <family val="3"/>
    </font>
    <font>
      <b/>
      <sz val="12"/>
      <name val="바탕체"/>
      <family val="1"/>
    </font>
    <font>
      <sz val="12"/>
      <color indexed="12"/>
      <name val="바탕체"/>
      <family val="1"/>
    </font>
    <font>
      <sz val="24"/>
      <name val="바탕체"/>
      <family val="1"/>
    </font>
    <font>
      <b/>
      <sz val="12"/>
      <color indexed="8"/>
      <name val="바탕체"/>
      <family val="1"/>
    </font>
    <font>
      <b/>
      <sz val="12"/>
      <color indexed="12"/>
      <name val="바탕체"/>
      <family val="1"/>
    </font>
    <font>
      <sz val="12"/>
      <color indexed="8"/>
      <name val="바탕체"/>
      <family val="1"/>
    </font>
    <font>
      <sz val="8"/>
      <name val="바탕"/>
      <family val="1"/>
    </font>
    <font>
      <u val="single"/>
      <sz val="24"/>
      <name val="바탕체"/>
      <family val="1"/>
    </font>
    <font>
      <b/>
      <sz val="18"/>
      <name val="바탕체"/>
      <family val="1"/>
    </font>
    <font>
      <sz val="11"/>
      <name val="굴림"/>
      <family val="3"/>
    </font>
    <font>
      <sz val="18"/>
      <name val="굴림"/>
      <family val="3"/>
    </font>
    <font>
      <sz val="9"/>
      <name val="굴림"/>
      <family val="3"/>
    </font>
    <font>
      <sz val="12"/>
      <name val="굴림"/>
      <family val="3"/>
    </font>
    <font>
      <b/>
      <sz val="10"/>
      <name val="바탕체"/>
      <family val="1"/>
    </font>
    <font>
      <sz val="10"/>
      <name val="굴림"/>
      <family val="3"/>
    </font>
    <font>
      <sz val="10"/>
      <name val="바탕체"/>
      <family val="1"/>
    </font>
    <font>
      <b/>
      <sz val="11"/>
      <name val="바탕체"/>
      <family val="1"/>
    </font>
    <font>
      <sz val="8"/>
      <name val="바탕체"/>
      <family val="1"/>
    </font>
    <font>
      <b/>
      <sz val="9"/>
      <name val="굴림"/>
      <family val="3"/>
    </font>
    <font>
      <b/>
      <sz val="24"/>
      <name val="굴림체"/>
      <family val="3"/>
    </font>
    <font>
      <sz val="11"/>
      <name val="굴림체"/>
      <family val="3"/>
    </font>
    <font>
      <sz val="12"/>
      <name val="굴림체"/>
      <family val="3"/>
    </font>
    <font>
      <sz val="8"/>
      <name val="돋움"/>
      <family val="3"/>
    </font>
    <font>
      <u val="single"/>
      <sz val="28"/>
      <name val="굴림체"/>
      <family val="3"/>
    </font>
    <font>
      <sz val="28"/>
      <name val="굴림체"/>
      <family val="3"/>
    </font>
    <font>
      <b/>
      <sz val="12"/>
      <name val="굴림체"/>
      <family val="3"/>
    </font>
    <font>
      <sz val="12"/>
      <color indexed="12"/>
      <name val="굴림체"/>
      <family val="3"/>
    </font>
    <font>
      <sz val="12"/>
      <color indexed="8"/>
      <name val="굴림체"/>
      <family val="3"/>
    </font>
    <font>
      <u val="single"/>
      <sz val="20"/>
      <name val="굴림체"/>
      <family val="3"/>
    </font>
    <font>
      <sz val="10"/>
      <name val="굴림체"/>
      <family val="3"/>
    </font>
    <font>
      <sz val="18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9"/>
      <name val="돋움"/>
      <family val="3"/>
    </font>
    <font>
      <sz val="11"/>
      <name val="돋움"/>
      <family val="3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"/>
      <color indexed="12"/>
      <name val="바탕체"/>
      <family val="1"/>
    </font>
    <font>
      <sz val="12"/>
      <color indexed="10"/>
      <name val="굴림체"/>
      <family val="3"/>
    </font>
    <font>
      <sz val="10"/>
      <color indexed="10"/>
      <name val="바탕체"/>
      <family val="1"/>
    </font>
    <font>
      <sz val="10"/>
      <color indexed="10"/>
      <name val="굴림체"/>
      <family val="3"/>
    </font>
    <font>
      <sz val="12"/>
      <color indexed="10"/>
      <name val="바탕체"/>
      <family val="1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"/>
      <color theme="10"/>
      <name val="바탕체"/>
      <family val="1"/>
    </font>
    <font>
      <sz val="12"/>
      <color rgb="FFFF0000"/>
      <name val="굴림체"/>
      <family val="3"/>
    </font>
    <font>
      <sz val="10"/>
      <color rgb="FFFF0000"/>
      <name val="바탕체"/>
      <family val="1"/>
    </font>
    <font>
      <sz val="10"/>
      <color rgb="FFFF0000"/>
      <name val="굴림체"/>
      <family val="3"/>
    </font>
    <font>
      <sz val="12"/>
      <color rgb="FFFF0000"/>
      <name val="바탕체"/>
      <family val="1"/>
    </font>
    <font>
      <sz val="11"/>
      <color theme="1"/>
      <name val="굴림체"/>
      <family val="3"/>
    </font>
    <font>
      <sz val="12"/>
      <color theme="1"/>
      <name val="굴림체"/>
      <family val="3"/>
    </font>
    <font>
      <b/>
      <sz val="8"/>
      <name val="바탕체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 style="medium">
        <color indexed="8"/>
      </left>
      <right/>
      <top/>
      <bottom/>
    </border>
    <border>
      <left style="thin"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/>
      <top/>
      <bottom/>
    </border>
    <border>
      <left/>
      <right style="double">
        <color indexed="8"/>
      </right>
      <top/>
      <bottom/>
    </border>
    <border>
      <left style="thin"/>
      <right style="hair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/>
      <right style="thin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hair"/>
      <bottom>
        <color indexed="63"/>
      </bottom>
    </border>
    <border>
      <left>
        <color indexed="63"/>
      </left>
      <right style="thin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1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10" fillId="0" borderId="0" xfId="71" applyFont="1" applyFill="1" applyAlignment="1">
      <alignment horizontal="centerContinuous" vertical="center"/>
      <protection/>
    </xf>
    <xf numFmtId="0" fontId="12" fillId="0" borderId="0" xfId="71" applyFont="1" applyFill="1" applyAlignment="1">
      <alignment horizontal="centerContinuous" vertical="center"/>
      <protection/>
    </xf>
    <xf numFmtId="0" fontId="14" fillId="0" borderId="0" xfId="71" applyFont="1" applyFill="1" applyAlignment="1">
      <alignment horizontal="centerContinuous"/>
      <protection/>
    </xf>
    <xf numFmtId="0" fontId="15" fillId="0" borderId="0" xfId="71" applyFont="1" applyFill="1">
      <alignment/>
      <protection/>
    </xf>
    <xf numFmtId="0" fontId="16" fillId="0" borderId="0" xfId="71" applyFont="1" applyFill="1">
      <alignment/>
      <protection/>
    </xf>
    <xf numFmtId="0" fontId="17" fillId="0" borderId="0" xfId="71" applyFont="1" applyFill="1" applyAlignment="1">
      <alignment horizontal="right"/>
      <protection/>
    </xf>
    <xf numFmtId="0" fontId="17" fillId="0" borderId="10" xfId="71" applyFont="1" applyFill="1" applyBorder="1" applyAlignment="1">
      <alignment horizontal="centerContinuous" vertical="center"/>
      <protection/>
    </xf>
    <xf numFmtId="0" fontId="17" fillId="0" borderId="11" xfId="71" applyFont="1" applyFill="1" applyBorder="1" applyAlignment="1">
      <alignment horizontal="centerContinuous" vertical="center"/>
      <protection/>
    </xf>
    <xf numFmtId="0" fontId="17" fillId="0" borderId="12" xfId="71" applyFont="1" applyFill="1" applyBorder="1" applyAlignment="1">
      <alignment horizontal="centerContinuous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5" fillId="0" borderId="10" xfId="71" applyFont="1" applyFill="1" applyBorder="1" applyAlignment="1">
      <alignment vertical="center"/>
      <protection/>
    </xf>
    <xf numFmtId="0" fontId="15" fillId="0" borderId="11" xfId="71" applyFont="1" applyFill="1" applyBorder="1" applyAlignment="1">
      <alignment vertical="center"/>
      <protection/>
    </xf>
    <xf numFmtId="177" fontId="15" fillId="0" borderId="11" xfId="63" applyNumberFormat="1" applyFont="1" applyFill="1" applyBorder="1" applyAlignment="1">
      <alignment vertical="center"/>
    </xf>
    <xf numFmtId="177" fontId="15" fillId="0" borderId="12" xfId="63" applyNumberFormat="1" applyFont="1" applyFill="1" applyBorder="1" applyAlignment="1">
      <alignment vertical="center"/>
    </xf>
    <xf numFmtId="0" fontId="17" fillId="0" borderId="16" xfId="71" applyFont="1" applyFill="1" applyBorder="1" applyAlignment="1">
      <alignment vertical="center"/>
      <protection/>
    </xf>
    <xf numFmtId="0" fontId="17" fillId="0" borderId="17" xfId="71" applyFont="1" applyFill="1" applyBorder="1" applyAlignment="1">
      <alignment vertical="center"/>
      <protection/>
    </xf>
    <xf numFmtId="177" fontId="17" fillId="0" borderId="17" xfId="63" applyNumberFormat="1" applyFont="1" applyFill="1" applyBorder="1" applyAlignment="1">
      <alignment vertical="center"/>
    </xf>
    <xf numFmtId="177" fontId="17" fillId="0" borderId="18" xfId="63" applyNumberFormat="1" applyFont="1" applyFill="1" applyBorder="1" applyAlignment="1">
      <alignment vertical="center"/>
    </xf>
    <xf numFmtId="0" fontId="17" fillId="0" borderId="19" xfId="71" applyFont="1" applyFill="1" applyBorder="1" applyAlignment="1">
      <alignment vertical="center"/>
      <protection/>
    </xf>
    <xf numFmtId="0" fontId="17" fillId="0" borderId="20" xfId="71" applyFont="1" applyFill="1" applyBorder="1" applyAlignment="1">
      <alignment vertical="center"/>
      <protection/>
    </xf>
    <xf numFmtId="0" fontId="15" fillId="0" borderId="21" xfId="71" applyFont="1" applyFill="1" applyBorder="1" applyAlignment="1">
      <alignment vertical="center"/>
      <protection/>
    </xf>
    <xf numFmtId="0" fontId="15" fillId="0" borderId="17" xfId="71" applyFont="1" applyFill="1" applyBorder="1" applyAlignment="1">
      <alignment vertical="center"/>
      <protection/>
    </xf>
    <xf numFmtId="177" fontId="15" fillId="0" borderId="17" xfId="63" applyNumberFormat="1" applyFont="1" applyFill="1" applyBorder="1" applyAlignment="1">
      <alignment vertical="center"/>
    </xf>
    <xf numFmtId="177" fontId="15" fillId="0" borderId="18" xfId="63" applyNumberFormat="1" applyFont="1" applyFill="1" applyBorder="1" applyAlignment="1">
      <alignment vertical="center"/>
    </xf>
    <xf numFmtId="0" fontId="17" fillId="0" borderId="22" xfId="71" applyFont="1" applyFill="1" applyBorder="1" applyAlignment="1">
      <alignment vertical="center"/>
      <protection/>
    </xf>
    <xf numFmtId="177" fontId="17" fillId="0" borderId="22" xfId="63" applyNumberFormat="1" applyFont="1" applyFill="1" applyBorder="1" applyAlignment="1">
      <alignment vertical="center"/>
    </xf>
    <xf numFmtId="177" fontId="17" fillId="0" borderId="23" xfId="63" applyNumberFormat="1" applyFont="1" applyFill="1" applyBorder="1" applyAlignment="1">
      <alignment vertical="center"/>
    </xf>
    <xf numFmtId="177" fontId="17" fillId="0" borderId="11" xfId="63" applyNumberFormat="1" applyFont="1" applyFill="1" applyBorder="1" applyAlignment="1">
      <alignment vertical="center"/>
    </xf>
    <xf numFmtId="0" fontId="17" fillId="0" borderId="24" xfId="71" applyFont="1" applyFill="1" applyBorder="1" applyAlignment="1">
      <alignment vertical="center"/>
      <protection/>
    </xf>
    <xf numFmtId="177" fontId="17" fillId="0" borderId="24" xfId="63" applyNumberFormat="1" applyFont="1" applyFill="1" applyBorder="1" applyAlignment="1">
      <alignment vertical="center"/>
    </xf>
    <xf numFmtId="177" fontId="17" fillId="0" borderId="25" xfId="63" applyNumberFormat="1" applyFont="1" applyFill="1" applyBorder="1" applyAlignment="1">
      <alignment vertical="center"/>
    </xf>
    <xf numFmtId="0" fontId="17" fillId="0" borderId="21" xfId="71" applyFont="1" applyFill="1" applyBorder="1" applyAlignment="1">
      <alignment vertical="center"/>
      <protection/>
    </xf>
    <xf numFmtId="0" fontId="15" fillId="0" borderId="13" xfId="71" applyFont="1" applyFill="1" applyBorder="1" applyAlignment="1">
      <alignment horizontal="centerContinuous" vertical="center"/>
      <protection/>
    </xf>
    <xf numFmtId="0" fontId="15" fillId="0" borderId="14" xfId="71" applyFont="1" applyFill="1" applyBorder="1" applyAlignment="1">
      <alignment horizontal="centerContinuous" vertical="center"/>
      <protection/>
    </xf>
    <xf numFmtId="177" fontId="15" fillId="0" borderId="14" xfId="63" applyNumberFormat="1" applyFont="1" applyFill="1" applyBorder="1" applyAlignment="1">
      <alignment vertical="center"/>
    </xf>
    <xf numFmtId="177" fontId="15" fillId="0" borderId="15" xfId="63" applyNumberFormat="1" applyFont="1" applyFill="1" applyBorder="1" applyAlignment="1">
      <alignment vertical="center"/>
    </xf>
    <xf numFmtId="0" fontId="15" fillId="0" borderId="0" xfId="71" applyFont="1" applyFill="1" applyBorder="1" applyAlignment="1">
      <alignment horizontal="centerContinuous" vertical="center"/>
      <protection/>
    </xf>
    <xf numFmtId="177" fontId="15" fillId="0" borderId="0" xfId="63" applyNumberFormat="1" applyFont="1" applyFill="1" applyBorder="1" applyAlignment="1">
      <alignment vertical="center"/>
    </xf>
    <xf numFmtId="0" fontId="15" fillId="0" borderId="0" xfId="71" applyFont="1" applyFill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</xf>
    <xf numFmtId="177" fontId="17" fillId="0" borderId="11" xfId="63" applyNumberFormat="1" applyFont="1" applyFill="1" applyBorder="1" applyAlignment="1">
      <alignment horizontal="centerContinuous" vertical="center"/>
    </xf>
    <xf numFmtId="177" fontId="17" fillId="0" borderId="12" xfId="63" applyNumberFormat="1" applyFont="1" applyFill="1" applyBorder="1" applyAlignment="1">
      <alignment horizontal="centerContinuous" vertical="center"/>
    </xf>
    <xf numFmtId="177" fontId="17" fillId="0" borderId="14" xfId="63" applyNumberFormat="1" applyFont="1" applyFill="1" applyBorder="1" applyAlignment="1">
      <alignment horizontal="center" vertical="center"/>
    </xf>
    <xf numFmtId="177" fontId="17" fillId="0" borderId="15" xfId="63" applyNumberFormat="1" applyFont="1" applyFill="1" applyBorder="1" applyAlignment="1">
      <alignment horizontal="center" vertical="center"/>
    </xf>
    <xf numFmtId="177" fontId="17" fillId="0" borderId="11" xfId="71" applyNumberFormat="1" applyFont="1" applyFill="1" applyBorder="1" applyAlignment="1">
      <alignment vertical="center"/>
      <protection/>
    </xf>
    <xf numFmtId="176" fontId="17" fillId="0" borderId="17" xfId="63" applyNumberFormat="1" applyFont="1" applyFill="1" applyBorder="1" applyAlignment="1">
      <alignment vertical="center"/>
    </xf>
    <xf numFmtId="176" fontId="15" fillId="0" borderId="17" xfId="63" applyNumberFormat="1" applyFont="1" applyFill="1" applyBorder="1" applyAlignment="1">
      <alignment vertical="center"/>
    </xf>
    <xf numFmtId="0" fontId="11" fillId="0" borderId="0" xfId="71" applyFill="1">
      <alignment/>
      <protection/>
    </xf>
    <xf numFmtId="0" fontId="14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vertical="center"/>
      <protection/>
    </xf>
    <xf numFmtId="177" fontId="16" fillId="0" borderId="0" xfId="71" applyNumberFormat="1" applyFont="1" applyFill="1">
      <alignment/>
      <protection/>
    </xf>
    <xf numFmtId="176" fontId="16" fillId="0" borderId="0" xfId="71" applyNumberFormat="1" applyFont="1" applyFill="1">
      <alignment/>
      <protection/>
    </xf>
    <xf numFmtId="177" fontId="11" fillId="0" borderId="0" xfId="71" applyNumberFormat="1" applyFont="1" applyFill="1">
      <alignment/>
      <protection/>
    </xf>
    <xf numFmtId="41" fontId="11" fillId="0" borderId="0" xfId="63" applyFont="1" applyFill="1" applyAlignment="1">
      <alignment/>
    </xf>
    <xf numFmtId="177" fontId="18" fillId="0" borderId="0" xfId="63" applyNumberFormat="1" applyFont="1" applyFill="1" applyBorder="1" applyAlignment="1">
      <alignment vertical="center"/>
    </xf>
    <xf numFmtId="177" fontId="17" fillId="0" borderId="17" xfId="64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 shrinkToFit="1"/>
    </xf>
    <xf numFmtId="0" fontId="22" fillId="33" borderId="26" xfId="0" applyFont="1" applyFill="1" applyBorder="1" applyAlignment="1">
      <alignment horizontal="center" vertical="center" shrinkToFit="1"/>
    </xf>
    <xf numFmtId="0" fontId="22" fillId="33" borderId="27" xfId="0" applyFont="1" applyFill="1" applyBorder="1" applyAlignment="1">
      <alignment horizontal="center" vertical="center" shrinkToFit="1"/>
    </xf>
    <xf numFmtId="176" fontId="31" fillId="33" borderId="22" xfId="49" applyNumberFormat="1" applyFont="1" applyFill="1" applyBorder="1" applyAlignment="1">
      <alignment horizontal="right" vertical="center" shrinkToFit="1"/>
    </xf>
    <xf numFmtId="181" fontId="31" fillId="33" borderId="28" xfId="44" applyNumberFormat="1" applyFont="1" applyFill="1" applyBorder="1" applyAlignment="1">
      <alignment horizontal="right" vertical="center" shrinkToFit="1"/>
    </xf>
    <xf numFmtId="0" fontId="22" fillId="33" borderId="0" xfId="49" applyFont="1" applyFill="1" applyAlignment="1">
      <alignment vertical="center" shrinkToFit="1"/>
    </xf>
    <xf numFmtId="3" fontId="31" fillId="0" borderId="17" xfId="0" applyNumberFormat="1" applyFont="1" applyFill="1" applyBorder="1" applyAlignment="1">
      <alignment vertical="center"/>
    </xf>
    <xf numFmtId="3" fontId="31" fillId="0" borderId="29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vertical="center"/>
    </xf>
    <xf numFmtId="176" fontId="31" fillId="33" borderId="27" xfId="49" applyNumberFormat="1" applyFont="1" applyFill="1" applyBorder="1" applyAlignment="1">
      <alignment horizontal="right" vertical="center" shrinkToFit="1"/>
    </xf>
    <xf numFmtId="181" fontId="31" fillId="33" borderId="26" xfId="44" applyNumberFormat="1" applyFont="1" applyFill="1" applyBorder="1" applyAlignment="1">
      <alignment horizontal="right" vertical="center" shrinkToFit="1"/>
    </xf>
    <xf numFmtId="181" fontId="22" fillId="33" borderId="0" xfId="0" applyNumberFormat="1" applyFont="1" applyFill="1" applyAlignment="1">
      <alignment vertical="center" shrinkToFit="1"/>
    </xf>
    <xf numFmtId="3" fontId="23" fillId="0" borderId="30" xfId="0" applyNumberFormat="1" applyFont="1" applyBorder="1" applyAlignment="1">
      <alignment vertical="center"/>
    </xf>
    <xf numFmtId="176" fontId="23" fillId="33" borderId="30" xfId="49" applyNumberFormat="1" applyFont="1" applyFill="1" applyBorder="1" applyAlignment="1">
      <alignment horizontal="right" vertical="center" shrinkToFit="1"/>
    </xf>
    <xf numFmtId="181" fontId="23" fillId="33" borderId="31" xfId="44" applyNumberFormat="1" applyFont="1" applyFill="1" applyBorder="1" applyAlignment="1">
      <alignment vertical="center" shrinkToFit="1"/>
    </xf>
    <xf numFmtId="176" fontId="23" fillId="33" borderId="31" xfId="49" applyNumberFormat="1" applyFont="1" applyFill="1" applyBorder="1" applyAlignment="1">
      <alignment horizontal="right" vertical="center" shrinkToFit="1"/>
    </xf>
    <xf numFmtId="181" fontId="23" fillId="33" borderId="31" xfId="44" applyNumberFormat="1" applyFont="1" applyFill="1" applyBorder="1" applyAlignment="1">
      <alignment horizontal="right" vertical="center" shrinkToFit="1"/>
    </xf>
    <xf numFmtId="181" fontId="23" fillId="33" borderId="28" xfId="44" applyNumberFormat="1" applyFont="1" applyFill="1" applyBorder="1" applyAlignment="1">
      <alignment vertical="center" shrinkToFit="1"/>
    </xf>
    <xf numFmtId="181" fontId="23" fillId="33" borderId="26" xfId="44" applyNumberFormat="1" applyFont="1" applyFill="1" applyBorder="1" applyAlignment="1">
      <alignment vertical="center" shrinkToFit="1"/>
    </xf>
    <xf numFmtId="181" fontId="23" fillId="33" borderId="32" xfId="44" applyNumberFormat="1" applyFont="1" applyFill="1" applyBorder="1" applyAlignment="1">
      <alignment vertical="center" shrinkToFit="1"/>
    </xf>
    <xf numFmtId="0" fontId="22" fillId="33" borderId="33" xfId="0" applyFont="1" applyFill="1" applyBorder="1" applyAlignment="1">
      <alignment horizontal="center" vertical="center" shrinkToFit="1"/>
    </xf>
    <xf numFmtId="0" fontId="22" fillId="33" borderId="34" xfId="0" applyFont="1" applyFill="1" applyBorder="1" applyAlignment="1">
      <alignment horizontal="center" vertical="center" shrinkToFit="1"/>
    </xf>
    <xf numFmtId="0" fontId="22" fillId="33" borderId="35" xfId="0" applyFont="1" applyFill="1" applyBorder="1" applyAlignment="1">
      <alignment horizontal="center" vertical="center" shrinkToFit="1"/>
    </xf>
    <xf numFmtId="0" fontId="22" fillId="33" borderId="36" xfId="0" applyFont="1" applyFill="1" applyBorder="1" applyAlignment="1">
      <alignment horizontal="distributed" vertical="center" shrinkToFit="1"/>
    </xf>
    <xf numFmtId="0" fontId="22" fillId="33" borderId="37" xfId="0" applyFont="1" applyFill="1" applyBorder="1" applyAlignment="1">
      <alignment horizontal="center" vertical="center" shrinkToFit="1"/>
    </xf>
    <xf numFmtId="0" fontId="22" fillId="33" borderId="38" xfId="0" applyFont="1" applyFill="1" applyBorder="1" applyAlignment="1">
      <alignment horizontal="center" vertical="center" shrinkToFit="1"/>
    </xf>
    <xf numFmtId="0" fontId="22" fillId="33" borderId="39" xfId="0" applyFont="1" applyFill="1" applyBorder="1" applyAlignment="1">
      <alignment horizontal="distributed" vertical="center" shrinkToFit="1"/>
    </xf>
    <xf numFmtId="176" fontId="23" fillId="33" borderId="40" xfId="49" applyNumberFormat="1" applyFont="1" applyFill="1" applyBorder="1" applyAlignment="1">
      <alignment vertical="center" shrinkToFit="1"/>
    </xf>
    <xf numFmtId="176" fontId="23" fillId="33" borderId="41" xfId="49" applyNumberFormat="1" applyFont="1" applyFill="1" applyBorder="1" applyAlignment="1">
      <alignment horizontal="right" vertical="center" shrinkToFit="1"/>
    </xf>
    <xf numFmtId="9" fontId="23" fillId="33" borderId="41" xfId="44" applyFont="1" applyFill="1" applyBorder="1" applyAlignment="1">
      <alignment vertical="center" shrinkToFit="1"/>
    </xf>
    <xf numFmtId="176" fontId="23" fillId="33" borderId="40" xfId="49" applyNumberFormat="1" applyFont="1" applyFill="1" applyBorder="1" applyAlignment="1">
      <alignment horizontal="right" vertical="center" shrinkToFit="1"/>
    </xf>
    <xf numFmtId="9" fontId="23" fillId="33" borderId="40" xfId="44" applyFont="1" applyFill="1" applyBorder="1" applyAlignment="1">
      <alignment horizontal="right" vertical="center" shrinkToFit="1"/>
    </xf>
    <xf numFmtId="182" fontId="31" fillId="33" borderId="42" xfId="49" applyNumberFormat="1" applyFont="1" applyFill="1" applyBorder="1" applyAlignment="1">
      <alignment vertical="center" shrinkToFit="1"/>
    </xf>
    <xf numFmtId="0" fontId="22" fillId="33" borderId="43" xfId="0" applyFont="1" applyFill="1" applyBorder="1" applyAlignment="1">
      <alignment horizontal="distributed" vertical="center" shrinkToFit="1"/>
    </xf>
    <xf numFmtId="0" fontId="22" fillId="33" borderId="44" xfId="0" applyFont="1" applyFill="1" applyBorder="1" applyAlignment="1">
      <alignment horizontal="center" vertical="center" shrinkToFit="1"/>
    </xf>
    <xf numFmtId="0" fontId="22" fillId="33" borderId="45" xfId="0" applyFont="1" applyFill="1" applyBorder="1" applyAlignment="1">
      <alignment horizontal="center" vertical="center" shrinkToFit="1"/>
    </xf>
    <xf numFmtId="0" fontId="22" fillId="33" borderId="46" xfId="0" applyFont="1" applyFill="1" applyBorder="1" applyAlignment="1">
      <alignment horizontal="distributed" vertical="center" shrinkToFit="1"/>
    </xf>
    <xf numFmtId="181" fontId="31" fillId="0" borderId="47" xfId="0" applyNumberFormat="1" applyFont="1" applyBorder="1" applyAlignment="1">
      <alignment horizontal="left" vertical="center" wrapText="1"/>
    </xf>
    <xf numFmtId="181" fontId="31" fillId="0" borderId="48" xfId="0" applyNumberFormat="1" applyFont="1" applyBorder="1" applyAlignment="1">
      <alignment horizontal="left" vertical="center" wrapText="1"/>
    </xf>
    <xf numFmtId="181" fontId="31" fillId="0" borderId="49" xfId="0" applyNumberFormat="1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vertical="center"/>
    </xf>
    <xf numFmtId="176" fontId="22" fillId="33" borderId="28" xfId="49" applyNumberFormat="1" applyFont="1" applyFill="1" applyBorder="1" applyAlignment="1">
      <alignment horizontal="right" vertical="center" shrinkToFit="1"/>
    </xf>
    <xf numFmtId="176" fontId="22" fillId="33" borderId="26" xfId="49" applyNumberFormat="1" applyFont="1" applyFill="1" applyBorder="1" applyAlignment="1">
      <alignment horizontal="right" vertical="center" shrinkToFit="1"/>
    </xf>
    <xf numFmtId="0" fontId="0" fillId="0" borderId="0" xfId="71" applyFont="1" applyFill="1" applyAlignment="1">
      <alignment horizontal="centerContinuous"/>
      <protection/>
    </xf>
    <xf numFmtId="176" fontId="34" fillId="33" borderId="22" xfId="49" applyNumberFormat="1" applyFont="1" applyFill="1" applyBorder="1" applyAlignment="1">
      <alignment horizontal="right" vertical="center" shrinkToFit="1"/>
    </xf>
    <xf numFmtId="3" fontId="31" fillId="0" borderId="14" xfId="0" applyNumberFormat="1" applyFont="1" applyFill="1" applyBorder="1" applyAlignment="1">
      <alignment vertical="center"/>
    </xf>
    <xf numFmtId="177" fontId="22" fillId="0" borderId="50" xfId="0" applyNumberFormat="1" applyFont="1" applyFill="1" applyBorder="1" applyAlignment="1" applyProtection="1">
      <alignment/>
      <protection locked="0"/>
    </xf>
    <xf numFmtId="0" fontId="22" fillId="0" borderId="51" xfId="49" applyFont="1" applyFill="1" applyBorder="1" applyAlignment="1">
      <alignment/>
    </xf>
    <xf numFmtId="177" fontId="22" fillId="0" borderId="0" xfId="0" applyNumberFormat="1" applyFont="1" applyFill="1" applyBorder="1" applyAlignment="1" applyProtection="1">
      <alignment/>
      <protection locked="0"/>
    </xf>
    <xf numFmtId="0" fontId="22" fillId="0" borderId="52" xfId="0" applyFont="1" applyFill="1" applyBorder="1" applyAlignment="1">
      <alignment horizontal="distributed"/>
    </xf>
    <xf numFmtId="37" fontId="22" fillId="0" borderId="53" xfId="0" applyNumberFormat="1" applyFont="1" applyFill="1" applyBorder="1" applyAlignment="1" applyProtection="1">
      <alignment/>
      <protection/>
    </xf>
    <xf numFmtId="0" fontId="22" fillId="0" borderId="54" xfId="49" applyFont="1" applyFill="1" applyBorder="1" applyAlignment="1">
      <alignment/>
    </xf>
    <xf numFmtId="0" fontId="22" fillId="0" borderId="53" xfId="49" applyFont="1" applyFill="1" applyBorder="1" applyAlignment="1">
      <alignment/>
    </xf>
    <xf numFmtId="0" fontId="22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0" fontId="23" fillId="0" borderId="54" xfId="0" applyFont="1" applyFill="1" applyBorder="1" applyAlignment="1">
      <alignment/>
    </xf>
    <xf numFmtId="37" fontId="23" fillId="0" borderId="55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6" fontId="11" fillId="0" borderId="0" xfId="71" applyNumberFormat="1" applyFont="1" applyFill="1">
      <alignment/>
      <protection/>
    </xf>
    <xf numFmtId="177" fontId="17" fillId="0" borderId="0" xfId="71" applyNumberFormat="1" applyFont="1" applyFill="1" applyAlignment="1">
      <alignment horizontal="right" vertical="center"/>
      <protection/>
    </xf>
    <xf numFmtId="179" fontId="11" fillId="0" borderId="0" xfId="71" applyNumberFormat="1" applyFont="1" applyFill="1">
      <alignment/>
      <protection/>
    </xf>
    <xf numFmtId="0" fontId="11" fillId="0" borderId="0" xfId="71" applyFont="1" applyFill="1" applyAlignment="1">
      <alignment horizontal="right"/>
      <protection/>
    </xf>
    <xf numFmtId="0" fontId="0" fillId="0" borderId="0" xfId="0" applyFill="1" applyAlignment="1">
      <alignment/>
    </xf>
    <xf numFmtId="0" fontId="23" fillId="0" borderId="56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53" xfId="0" applyFont="1" applyFill="1" applyBorder="1" applyAlignment="1">
      <alignment/>
    </xf>
    <xf numFmtId="0" fontId="31" fillId="0" borderId="19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3" fontId="31" fillId="0" borderId="23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1" fillId="0" borderId="18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37" fontId="28" fillId="0" borderId="57" xfId="0" applyNumberFormat="1" applyFont="1" applyFill="1" applyBorder="1" applyAlignment="1" applyProtection="1">
      <alignment/>
      <protection/>
    </xf>
    <xf numFmtId="3" fontId="22" fillId="0" borderId="58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176" fontId="22" fillId="33" borderId="30" xfId="49" applyNumberFormat="1" applyFont="1" applyFill="1" applyBorder="1" applyAlignment="1">
      <alignment horizontal="right" vertical="center" shrinkToFit="1"/>
    </xf>
    <xf numFmtId="3" fontId="22" fillId="0" borderId="24" xfId="0" applyNumberFormat="1" applyFont="1" applyBorder="1" applyAlignment="1">
      <alignment vertical="center"/>
    </xf>
    <xf numFmtId="176" fontId="22" fillId="33" borderId="22" xfId="49" applyNumberFormat="1" applyFont="1" applyFill="1" applyBorder="1" applyAlignment="1">
      <alignment horizontal="right" vertical="center" shrinkToFit="1"/>
    </xf>
    <xf numFmtId="3" fontId="22" fillId="0" borderId="26" xfId="0" applyNumberFormat="1" applyFont="1" applyBorder="1" applyAlignment="1">
      <alignment vertical="center"/>
    </xf>
    <xf numFmtId="176" fontId="22" fillId="33" borderId="27" xfId="49" applyNumberFormat="1" applyFont="1" applyFill="1" applyBorder="1" applyAlignment="1">
      <alignment horizontal="right" vertical="center" shrinkToFit="1"/>
    </xf>
    <xf numFmtId="3" fontId="22" fillId="0" borderId="32" xfId="0" applyNumberFormat="1" applyFont="1" applyBorder="1" applyAlignment="1">
      <alignment vertical="center"/>
    </xf>
    <xf numFmtId="176" fontId="22" fillId="33" borderId="24" xfId="49" applyNumberFormat="1" applyFont="1" applyFill="1" applyBorder="1" applyAlignment="1">
      <alignment horizontal="right" vertical="center" shrinkToFit="1"/>
    </xf>
    <xf numFmtId="41" fontId="11" fillId="0" borderId="0" xfId="71" applyNumberFormat="1" applyFont="1" applyFill="1">
      <alignment/>
      <protection/>
    </xf>
    <xf numFmtId="3" fontId="22" fillId="0" borderId="31" xfId="0" applyNumberFormat="1" applyFont="1" applyBorder="1" applyAlignment="1" quotePrefix="1">
      <alignment vertical="center"/>
    </xf>
    <xf numFmtId="3" fontId="22" fillId="0" borderId="31" xfId="0" applyNumberFormat="1" applyFont="1" applyBorder="1" applyAlignment="1">
      <alignment vertical="center"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right"/>
    </xf>
    <xf numFmtId="0" fontId="22" fillId="0" borderId="5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37" fontId="22" fillId="0" borderId="62" xfId="0" applyNumberFormat="1" applyFont="1" applyFill="1" applyBorder="1" applyAlignment="1" applyProtection="1">
      <alignment/>
      <protection/>
    </xf>
    <xf numFmtId="0" fontId="22" fillId="0" borderId="63" xfId="0" applyFont="1" applyFill="1" applyBorder="1" applyAlignment="1">
      <alignment horizontal="distributed"/>
    </xf>
    <xf numFmtId="37" fontId="22" fillId="0" borderId="64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Alignment="1">
      <alignment/>
    </xf>
    <xf numFmtId="37" fontId="22" fillId="0" borderId="54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Alignment="1" applyProtection="1">
      <alignment/>
      <protection locked="0"/>
    </xf>
    <xf numFmtId="37" fontId="22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 locked="0"/>
    </xf>
    <xf numFmtId="37" fontId="22" fillId="0" borderId="65" xfId="0" applyNumberFormat="1" applyFont="1" applyFill="1" applyBorder="1" applyAlignment="1" applyProtection="1">
      <alignment/>
      <protection/>
    </xf>
    <xf numFmtId="177" fontId="22" fillId="0" borderId="66" xfId="0" applyNumberFormat="1" applyFont="1" applyFill="1" applyBorder="1" applyAlignment="1" applyProtection="1">
      <alignment/>
      <protection locked="0"/>
    </xf>
    <xf numFmtId="0" fontId="22" fillId="0" borderId="67" xfId="0" applyFont="1" applyFill="1" applyBorder="1" applyAlignment="1">
      <alignment horizontal="distributed"/>
    </xf>
    <xf numFmtId="37" fontId="22" fillId="0" borderId="68" xfId="0" applyNumberFormat="1" applyFont="1" applyFill="1" applyBorder="1" applyAlignment="1" applyProtection="1">
      <alignment/>
      <protection/>
    </xf>
    <xf numFmtId="177" fontId="22" fillId="0" borderId="69" xfId="0" applyNumberFormat="1" applyFont="1" applyFill="1" applyBorder="1" applyAlignment="1" applyProtection="1">
      <alignment/>
      <protection locked="0"/>
    </xf>
    <xf numFmtId="0" fontId="22" fillId="0" borderId="66" xfId="0" applyFont="1" applyFill="1" applyBorder="1" applyAlignment="1">
      <alignment horizontal="distributed"/>
    </xf>
    <xf numFmtId="177" fontId="22" fillId="0" borderId="70" xfId="0" applyNumberFormat="1" applyFont="1" applyFill="1" applyBorder="1" applyAlignment="1" applyProtection="1">
      <alignment/>
      <protection locked="0"/>
    </xf>
    <xf numFmtId="37" fontId="22" fillId="0" borderId="71" xfId="0" applyNumberFormat="1" applyFont="1" applyFill="1" applyBorder="1" applyAlignment="1" applyProtection="1">
      <alignment/>
      <protection/>
    </xf>
    <xf numFmtId="37" fontId="22" fillId="0" borderId="72" xfId="0" applyNumberFormat="1" applyFont="1" applyFill="1" applyBorder="1" applyAlignment="1" applyProtection="1">
      <alignment/>
      <protection/>
    </xf>
    <xf numFmtId="37" fontId="22" fillId="0" borderId="73" xfId="0" applyNumberFormat="1" applyFont="1" applyFill="1" applyBorder="1" applyAlignment="1" applyProtection="1">
      <alignment/>
      <protection/>
    </xf>
    <xf numFmtId="0" fontId="22" fillId="0" borderId="74" xfId="0" applyFont="1" applyFill="1" applyBorder="1" applyAlignment="1">
      <alignment horizontal="distributed"/>
    </xf>
    <xf numFmtId="37" fontId="22" fillId="0" borderId="75" xfId="0" applyNumberFormat="1" applyFont="1" applyFill="1" applyBorder="1" applyAlignment="1" applyProtection="1">
      <alignment/>
      <protection/>
    </xf>
    <xf numFmtId="37" fontId="22" fillId="0" borderId="76" xfId="0" applyNumberFormat="1" applyFont="1" applyFill="1" applyBorder="1" applyAlignment="1" applyProtection="1">
      <alignment/>
      <protection/>
    </xf>
    <xf numFmtId="37" fontId="22" fillId="0" borderId="77" xfId="0" applyNumberFormat="1" applyFont="1" applyFill="1" applyBorder="1" applyAlignment="1" applyProtection="1">
      <alignment/>
      <protection/>
    </xf>
    <xf numFmtId="37" fontId="22" fillId="0" borderId="77" xfId="0" applyNumberFormat="1" applyFont="1" applyFill="1" applyBorder="1" applyAlignment="1" applyProtection="1">
      <alignment horizontal="distributed"/>
      <protection/>
    </xf>
    <xf numFmtId="37" fontId="22" fillId="0" borderId="78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79" fontId="31" fillId="0" borderId="0" xfId="0" applyNumberFormat="1" applyFont="1" applyFill="1" applyAlignment="1">
      <alignment/>
    </xf>
    <xf numFmtId="179" fontId="23" fillId="0" borderId="0" xfId="0" applyNumberFormat="1" applyFont="1" applyFill="1" applyAlignment="1">
      <alignment/>
    </xf>
    <xf numFmtId="0" fontId="23" fillId="0" borderId="0" xfId="49" applyFont="1" applyFill="1" applyAlignment="1">
      <alignment/>
    </xf>
    <xf numFmtId="0" fontId="23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79" fontId="23" fillId="0" borderId="79" xfId="0" applyNumberFormat="1" applyFont="1" applyFill="1" applyBorder="1" applyAlignment="1">
      <alignment horizontal="center"/>
    </xf>
    <xf numFmtId="179" fontId="23" fillId="0" borderId="80" xfId="0" applyNumberFormat="1" applyFont="1" applyFill="1" applyBorder="1" applyAlignment="1">
      <alignment horizontal="center"/>
    </xf>
    <xf numFmtId="179" fontId="23" fillId="0" borderId="81" xfId="0" applyNumberFormat="1" applyFont="1" applyFill="1" applyBorder="1" applyAlignment="1">
      <alignment horizontal="center"/>
    </xf>
    <xf numFmtId="179" fontId="23" fillId="0" borderId="82" xfId="0" applyNumberFormat="1" applyFont="1" applyFill="1" applyBorder="1" applyAlignment="1">
      <alignment horizontal="center"/>
    </xf>
    <xf numFmtId="177" fontId="23" fillId="0" borderId="54" xfId="0" applyNumberFormat="1" applyFont="1" applyFill="1" applyBorder="1" applyAlignment="1">
      <alignment/>
    </xf>
    <xf numFmtId="37" fontId="23" fillId="0" borderId="54" xfId="0" applyNumberFormat="1" applyFont="1" applyFill="1" applyBorder="1" applyAlignment="1">
      <alignment/>
    </xf>
    <xf numFmtId="0" fontId="22" fillId="0" borderId="56" xfId="49" applyFont="1" applyFill="1" applyBorder="1" applyAlignment="1">
      <alignment/>
    </xf>
    <xf numFmtId="0" fontId="22" fillId="0" borderId="65" xfId="49" applyFont="1" applyFill="1" applyBorder="1" applyAlignment="1" applyProtection="1">
      <alignment/>
      <protection/>
    </xf>
    <xf numFmtId="0" fontId="22" fillId="0" borderId="68" xfId="49" applyFont="1" applyFill="1" applyBorder="1" applyAlignment="1" applyProtection="1">
      <alignment/>
      <protection/>
    </xf>
    <xf numFmtId="0" fontId="22" fillId="0" borderId="54" xfId="49" applyFont="1" applyFill="1" applyBorder="1" applyAlignment="1" applyProtection="1">
      <alignment/>
      <protection/>
    </xf>
    <xf numFmtId="0" fontId="22" fillId="0" borderId="53" xfId="49" applyFont="1" applyFill="1" applyBorder="1" applyAlignment="1" applyProtection="1">
      <alignment/>
      <protection/>
    </xf>
    <xf numFmtId="177" fontId="22" fillId="0" borderId="53" xfId="0" applyNumberFormat="1" applyFont="1" applyFill="1" applyBorder="1" applyAlignment="1" applyProtection="1">
      <alignment/>
      <protection locked="0"/>
    </xf>
    <xf numFmtId="0" fontId="22" fillId="0" borderId="50" xfId="49" applyFont="1" applyFill="1" applyBorder="1" applyAlignment="1">
      <alignment/>
    </xf>
    <xf numFmtId="177" fontId="22" fillId="0" borderId="83" xfId="0" applyNumberFormat="1" applyFont="1" applyFill="1" applyBorder="1" applyAlignment="1" applyProtection="1">
      <alignment/>
      <protection locked="0"/>
    </xf>
    <xf numFmtId="0" fontId="22" fillId="0" borderId="0" xfId="49" applyFont="1" applyFill="1" applyAlignment="1">
      <alignment/>
    </xf>
    <xf numFmtId="37" fontId="28" fillId="0" borderId="55" xfId="0" applyNumberFormat="1" applyFont="1" applyFill="1" applyBorder="1" applyAlignment="1" applyProtection="1">
      <alignment/>
      <protection/>
    </xf>
    <xf numFmtId="37" fontId="23" fillId="0" borderId="57" xfId="0" applyNumberFormat="1" applyFont="1" applyFill="1" applyBorder="1" applyAlignment="1" applyProtection="1">
      <alignment/>
      <protection/>
    </xf>
    <xf numFmtId="176" fontId="17" fillId="0" borderId="18" xfId="6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189" fontId="1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right"/>
    </xf>
    <xf numFmtId="0" fontId="5" fillId="0" borderId="59" xfId="0" applyFont="1" applyFill="1" applyBorder="1" applyAlignment="1">
      <alignment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37" fontId="0" fillId="0" borderId="55" xfId="0" applyNumberFormat="1" applyFill="1" applyBorder="1" applyAlignment="1" applyProtection="1">
      <alignment/>
      <protection/>
    </xf>
    <xf numFmtId="37" fontId="6" fillId="0" borderId="57" xfId="0" applyNumberFormat="1" applyFont="1" applyFill="1" applyBorder="1" applyAlignment="1" applyProtection="1">
      <alignment/>
      <protection/>
    </xf>
    <xf numFmtId="0" fontId="7" fillId="0" borderId="54" xfId="0" applyFont="1" applyFill="1" applyBorder="1" applyAlignment="1">
      <alignment vertical="center"/>
    </xf>
    <xf numFmtId="37" fontId="3" fillId="0" borderId="57" xfId="0" applyNumberFormat="1" applyFont="1" applyFill="1" applyBorder="1" applyAlignment="1" applyProtection="1">
      <alignment/>
      <protection/>
    </xf>
    <xf numFmtId="37" fontId="6" fillId="0" borderId="55" xfId="0" applyNumberFormat="1" applyFont="1" applyFill="1" applyBorder="1" applyAlignment="1" applyProtection="1">
      <alignment horizontal="right"/>
      <protection/>
    </xf>
    <xf numFmtId="0" fontId="5" fillId="0" borderId="54" xfId="0" applyFont="1" applyFill="1" applyBorder="1" applyAlignment="1">
      <alignment/>
    </xf>
    <xf numFmtId="37" fontId="5" fillId="0" borderId="57" xfId="0" applyNumberFormat="1" applyFont="1" applyFill="1" applyBorder="1" applyAlignment="1" applyProtection="1">
      <alignment/>
      <protection/>
    </xf>
    <xf numFmtId="0" fontId="7" fillId="0" borderId="54" xfId="0" applyFont="1" applyFill="1" applyBorder="1" applyAlignment="1">
      <alignment/>
    </xf>
    <xf numFmtId="0" fontId="0" fillId="0" borderId="54" xfId="0" applyFill="1" applyBorder="1" applyAlignment="1">
      <alignment/>
    </xf>
    <xf numFmtId="37" fontId="3" fillId="0" borderId="55" xfId="0" applyNumberFormat="1" applyFont="1" applyFill="1" applyBorder="1" applyAlignment="1" applyProtection="1">
      <alignment/>
      <protection/>
    </xf>
    <xf numFmtId="37" fontId="7" fillId="0" borderId="55" xfId="0" applyNumberFormat="1" applyFont="1" applyFill="1" applyBorder="1" applyAlignment="1" applyProtection="1">
      <alignment/>
      <protection/>
    </xf>
    <xf numFmtId="37" fontId="5" fillId="0" borderId="57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>
      <alignment/>
    </xf>
    <xf numFmtId="37" fontId="5" fillId="0" borderId="86" xfId="0" applyNumberFormat="1" applyFont="1" applyFill="1" applyBorder="1" applyAlignment="1" applyProtection="1">
      <alignment/>
      <protection/>
    </xf>
    <xf numFmtId="37" fontId="5" fillId="0" borderId="86" xfId="0" applyNumberFormat="1" applyFont="1" applyFill="1" applyBorder="1" applyAlignment="1" applyProtection="1">
      <alignment/>
      <protection/>
    </xf>
    <xf numFmtId="0" fontId="0" fillId="0" borderId="65" xfId="0" applyFill="1" applyBorder="1" applyAlignment="1">
      <alignment/>
    </xf>
    <xf numFmtId="37" fontId="3" fillId="0" borderId="87" xfId="0" applyNumberFormat="1" applyFont="1" applyFill="1" applyBorder="1" applyAlignment="1" applyProtection="1">
      <alignment/>
      <protection/>
    </xf>
    <xf numFmtId="37" fontId="5" fillId="0" borderId="88" xfId="0" applyNumberFormat="1" applyFont="1" applyFill="1" applyBorder="1" applyAlignment="1" applyProtection="1">
      <alignment/>
      <protection/>
    </xf>
    <xf numFmtId="37" fontId="5" fillId="0" borderId="88" xfId="0" applyNumberFormat="1" applyFont="1" applyFill="1" applyBorder="1" applyAlignment="1" applyProtection="1">
      <alignment/>
      <protection/>
    </xf>
    <xf numFmtId="176" fontId="5" fillId="0" borderId="86" xfId="0" applyNumberFormat="1" applyFont="1" applyFill="1" applyBorder="1" applyAlignment="1" applyProtection="1">
      <alignment/>
      <protection/>
    </xf>
    <xf numFmtId="0" fontId="5" fillId="0" borderId="65" xfId="0" applyFont="1" applyFill="1" applyBorder="1" applyAlignment="1">
      <alignment/>
    </xf>
    <xf numFmtId="37" fontId="0" fillId="0" borderId="87" xfId="0" applyNumberFormat="1" applyFill="1" applyBorder="1" applyAlignment="1" applyProtection="1">
      <alignment/>
      <protection/>
    </xf>
    <xf numFmtId="176" fontId="5" fillId="0" borderId="89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0" fontId="27" fillId="0" borderId="59" xfId="0" applyFont="1" applyFill="1" applyBorder="1" applyAlignment="1">
      <alignment vertical="center"/>
    </xf>
    <xf numFmtId="0" fontId="27" fillId="0" borderId="84" xfId="0" applyFont="1" applyFill="1" applyBorder="1" applyAlignment="1">
      <alignment vertical="center"/>
    </xf>
    <xf numFmtId="0" fontId="27" fillId="0" borderId="85" xfId="0" applyFont="1" applyFill="1" applyBorder="1" applyAlignment="1">
      <alignment vertical="center"/>
    </xf>
    <xf numFmtId="0" fontId="27" fillId="0" borderId="90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7" fillId="0" borderId="54" xfId="0" applyFont="1" applyFill="1" applyBorder="1" applyAlignment="1">
      <alignment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37" fontId="28" fillId="0" borderId="52" xfId="0" applyNumberFormat="1" applyFont="1" applyFill="1" applyBorder="1" applyAlignment="1" applyProtection="1">
      <alignment/>
      <protection/>
    </xf>
    <xf numFmtId="3" fontId="28" fillId="0" borderId="52" xfId="0" applyNumberFormat="1" applyFont="1" applyFill="1" applyBorder="1" applyAlignment="1">
      <alignment/>
    </xf>
    <xf numFmtId="0" fontId="23" fillId="0" borderId="65" xfId="0" applyFont="1" applyFill="1" applyBorder="1" applyAlignment="1">
      <alignment/>
    </xf>
    <xf numFmtId="37" fontId="28" fillId="0" borderId="87" xfId="0" applyNumberFormat="1" applyFont="1" applyFill="1" applyBorder="1" applyAlignment="1" applyProtection="1">
      <alignment/>
      <protection/>
    </xf>
    <xf numFmtId="37" fontId="23" fillId="0" borderId="88" xfId="0" applyNumberFormat="1" applyFont="1" applyFill="1" applyBorder="1" applyAlignment="1" applyProtection="1">
      <alignment/>
      <protection/>
    </xf>
    <xf numFmtId="37" fontId="27" fillId="0" borderId="57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/>
      <protection/>
    </xf>
    <xf numFmtId="176" fontId="29" fillId="0" borderId="86" xfId="0" applyNumberFormat="1" applyFont="1" applyFill="1" applyBorder="1" applyAlignment="1" applyProtection="1">
      <alignment/>
      <protection/>
    </xf>
    <xf numFmtId="176" fontId="28" fillId="0" borderId="86" xfId="0" applyNumberFormat="1" applyFont="1" applyFill="1" applyBorder="1" applyAlignment="1" applyProtection="1">
      <alignment/>
      <protection/>
    </xf>
    <xf numFmtId="0" fontId="23" fillId="0" borderId="50" xfId="0" applyFont="1" applyFill="1" applyBorder="1" applyAlignment="1">
      <alignment/>
    </xf>
    <xf numFmtId="176" fontId="28" fillId="0" borderId="52" xfId="0" applyNumberFormat="1" applyFont="1" applyFill="1" applyBorder="1" applyAlignment="1" applyProtection="1">
      <alignment/>
      <protection/>
    </xf>
    <xf numFmtId="176" fontId="29" fillId="0" borderId="52" xfId="0" applyNumberFormat="1" applyFont="1" applyFill="1" applyBorder="1" applyAlignment="1" applyProtection="1">
      <alignment/>
      <protection/>
    </xf>
    <xf numFmtId="0" fontId="27" fillId="0" borderId="65" xfId="0" applyFont="1" applyFill="1" applyBorder="1" applyAlignment="1">
      <alignment horizontal="center"/>
    </xf>
    <xf numFmtId="37" fontId="23" fillId="0" borderId="87" xfId="0" applyNumberFormat="1" applyFont="1" applyFill="1" applyBorder="1" applyAlignment="1" applyProtection="1">
      <alignment/>
      <protection/>
    </xf>
    <xf numFmtId="37" fontId="27" fillId="0" borderId="88" xfId="0" applyNumberFormat="1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176" fontId="23" fillId="0" borderId="0" xfId="0" applyNumberFormat="1" applyFont="1" applyFill="1" applyAlignment="1">
      <alignment/>
    </xf>
    <xf numFmtId="0" fontId="10" fillId="0" borderId="0" xfId="72" applyFont="1" applyFill="1" applyAlignment="1">
      <alignment horizontal="centerContinuous"/>
      <protection/>
    </xf>
    <xf numFmtId="0" fontId="12" fillId="0" borderId="0" xfId="72" applyFont="1" applyFill="1" applyAlignment="1">
      <alignment horizontal="centerContinuous"/>
      <protection/>
    </xf>
    <xf numFmtId="0" fontId="0" fillId="0" borderId="0" xfId="72" applyFont="1" applyFill="1" applyAlignment="1">
      <alignment horizontal="centerContinuous"/>
      <protection/>
    </xf>
    <xf numFmtId="0" fontId="11" fillId="0" borderId="0" xfId="72" applyFill="1" applyAlignment="1">
      <alignment horizontal="centerContinuous"/>
      <protection/>
    </xf>
    <xf numFmtId="0" fontId="15" fillId="0" borderId="0" xfId="72" applyFont="1" applyFill="1" applyAlignment="1">
      <alignment horizontal="left"/>
      <protection/>
    </xf>
    <xf numFmtId="0" fontId="17" fillId="0" borderId="0" xfId="72" applyFont="1" applyFill="1" applyAlignment="1">
      <alignment horizontal="centerContinuous"/>
      <protection/>
    </xf>
    <xf numFmtId="177" fontId="17" fillId="0" borderId="0" xfId="72" applyNumberFormat="1" applyFont="1" applyFill="1" applyAlignment="1">
      <alignment horizontal="left"/>
      <protection/>
    </xf>
    <xf numFmtId="177" fontId="17" fillId="0" borderId="0" xfId="72" applyNumberFormat="1" applyFont="1" applyFill="1" applyAlignment="1">
      <alignment horizontal="centerContinuous"/>
      <protection/>
    </xf>
    <xf numFmtId="0" fontId="17" fillId="0" borderId="0" xfId="72" applyFont="1" applyFill="1">
      <alignment/>
      <protection/>
    </xf>
    <xf numFmtId="0" fontId="17" fillId="0" borderId="0" xfId="72" applyFont="1" applyFill="1" applyAlignment="1">
      <alignment horizontal="right"/>
      <protection/>
    </xf>
    <xf numFmtId="0" fontId="17" fillId="0" borderId="10" xfId="72" applyFont="1" applyFill="1" applyBorder="1" applyAlignment="1">
      <alignment horizontal="centerContinuous" vertical="center"/>
      <protection/>
    </xf>
    <xf numFmtId="0" fontId="17" fillId="0" borderId="11" xfId="72" applyFont="1" applyFill="1" applyBorder="1" applyAlignment="1">
      <alignment horizontal="centerContinuous" vertical="center"/>
      <protection/>
    </xf>
    <xf numFmtId="0" fontId="17" fillId="0" borderId="12" xfId="72" applyFont="1" applyFill="1" applyBorder="1" applyAlignment="1">
      <alignment horizontal="centerContinuous" vertical="center"/>
      <protection/>
    </xf>
    <xf numFmtId="0" fontId="17" fillId="0" borderId="16" xfId="72" applyFont="1" applyFill="1" applyBorder="1" applyAlignment="1">
      <alignment horizontal="center" vertical="center"/>
      <protection/>
    </xf>
    <xf numFmtId="0" fontId="17" fillId="0" borderId="29" xfId="72" applyFont="1" applyFill="1" applyBorder="1" applyAlignment="1">
      <alignment horizontal="center" vertical="center"/>
      <protection/>
    </xf>
    <xf numFmtId="0" fontId="17" fillId="0" borderId="91" xfId="72" applyFont="1" applyFill="1" applyBorder="1" applyAlignment="1">
      <alignment horizontal="center" vertical="center"/>
      <protection/>
    </xf>
    <xf numFmtId="0" fontId="15" fillId="0" borderId="10" xfId="72" applyFont="1" applyFill="1" applyBorder="1" applyAlignment="1">
      <alignment vertical="center"/>
      <protection/>
    </xf>
    <xf numFmtId="0" fontId="15" fillId="0" borderId="11" xfId="72" applyFont="1" applyFill="1" applyBorder="1" applyAlignment="1">
      <alignment vertical="center"/>
      <protection/>
    </xf>
    <xf numFmtId="177" fontId="15" fillId="0" borderId="11" xfId="64" applyNumberFormat="1" applyFont="1" applyFill="1" applyBorder="1" applyAlignment="1">
      <alignment vertical="center"/>
    </xf>
    <xf numFmtId="177" fontId="15" fillId="0" borderId="12" xfId="64" applyNumberFormat="1" applyFont="1" applyFill="1" applyBorder="1" applyAlignment="1">
      <alignment vertical="center"/>
    </xf>
    <xf numFmtId="0" fontId="17" fillId="0" borderId="21" xfId="72" applyFont="1" applyFill="1" applyBorder="1" applyAlignment="1">
      <alignment vertical="center"/>
      <protection/>
    </xf>
    <xf numFmtId="0" fontId="17" fillId="0" borderId="17" xfId="72" applyFont="1" applyFill="1" applyBorder="1" applyAlignment="1">
      <alignment vertical="center"/>
      <protection/>
    </xf>
    <xf numFmtId="177" fontId="17" fillId="0" borderId="17" xfId="64" applyNumberFormat="1" applyFont="1" applyFill="1" applyBorder="1" applyAlignment="1">
      <alignment vertical="center"/>
    </xf>
    <xf numFmtId="177" fontId="17" fillId="0" borderId="18" xfId="64" applyNumberFormat="1" applyFont="1" applyFill="1" applyBorder="1" applyAlignment="1">
      <alignment vertical="center"/>
    </xf>
    <xf numFmtId="176" fontId="17" fillId="0" borderId="17" xfId="64" applyNumberFormat="1" applyFont="1" applyFill="1" applyBorder="1" applyAlignment="1">
      <alignment vertical="center"/>
    </xf>
    <xf numFmtId="176" fontId="17" fillId="0" borderId="18" xfId="64" applyNumberFormat="1" applyFont="1" applyFill="1" applyBorder="1" applyAlignment="1">
      <alignment vertical="center"/>
    </xf>
    <xf numFmtId="0" fontId="15" fillId="0" borderId="21" xfId="72" applyFont="1" applyFill="1" applyBorder="1" applyAlignment="1">
      <alignment vertical="center"/>
      <protection/>
    </xf>
    <xf numFmtId="0" fontId="15" fillId="0" borderId="17" xfId="72" applyFont="1" applyFill="1" applyBorder="1" applyAlignment="1">
      <alignment vertical="center"/>
      <protection/>
    </xf>
    <xf numFmtId="177" fontId="15" fillId="0" borderId="17" xfId="64" applyNumberFormat="1" applyFont="1" applyFill="1" applyBorder="1" applyAlignment="1">
      <alignment vertical="center"/>
    </xf>
    <xf numFmtId="177" fontId="15" fillId="0" borderId="18" xfId="64" applyNumberFormat="1" applyFont="1" applyFill="1" applyBorder="1" applyAlignment="1">
      <alignment vertical="center"/>
    </xf>
    <xf numFmtId="0" fontId="17" fillId="0" borderId="19" xfId="72" applyFont="1" applyFill="1" applyBorder="1" applyAlignment="1">
      <alignment vertical="center"/>
      <protection/>
    </xf>
    <xf numFmtId="177" fontId="17" fillId="0" borderId="29" xfId="64" applyNumberFormat="1" applyFont="1" applyFill="1" applyBorder="1" applyAlignment="1">
      <alignment vertical="center"/>
    </xf>
    <xf numFmtId="177" fontId="17" fillId="0" borderId="91" xfId="64" applyNumberFormat="1" applyFont="1" applyFill="1" applyBorder="1" applyAlignment="1">
      <alignment vertical="center"/>
    </xf>
    <xf numFmtId="0" fontId="17" fillId="0" borderId="20" xfId="72" applyFont="1" applyFill="1" applyBorder="1" applyAlignment="1">
      <alignment vertical="center"/>
      <protection/>
    </xf>
    <xf numFmtId="0" fontId="17" fillId="0" borderId="29" xfId="72" applyFont="1" applyFill="1" applyBorder="1" applyAlignment="1">
      <alignment vertical="center"/>
      <protection/>
    </xf>
    <xf numFmtId="0" fontId="15" fillId="0" borderId="13" xfId="72" applyFont="1" applyFill="1" applyBorder="1" applyAlignment="1">
      <alignment horizontal="centerContinuous" vertical="center"/>
      <protection/>
    </xf>
    <xf numFmtId="0" fontId="15" fillId="0" borderId="14" xfId="72" applyFont="1" applyFill="1" applyBorder="1" applyAlignment="1">
      <alignment horizontal="centerContinuous" vertical="center"/>
      <protection/>
    </xf>
    <xf numFmtId="177" fontId="15" fillId="0" borderId="14" xfId="64" applyNumberFormat="1" applyFont="1" applyFill="1" applyBorder="1" applyAlignment="1">
      <alignment vertical="center"/>
    </xf>
    <xf numFmtId="177" fontId="15" fillId="0" borderId="15" xfId="64" applyNumberFormat="1" applyFont="1" applyFill="1" applyBorder="1" applyAlignment="1">
      <alignment vertical="center"/>
    </xf>
    <xf numFmtId="0" fontId="15" fillId="0" borderId="0" xfId="72" applyFont="1" applyFill="1" applyBorder="1" applyAlignment="1">
      <alignment horizontal="centerContinuous" vertical="center"/>
      <protection/>
    </xf>
    <xf numFmtId="177" fontId="15" fillId="0" borderId="0" xfId="64" applyNumberFormat="1" applyFont="1" applyFill="1" applyBorder="1" applyAlignment="1">
      <alignment vertical="center"/>
    </xf>
    <xf numFmtId="0" fontId="15" fillId="0" borderId="0" xfId="72" applyFont="1" applyFill="1" applyAlignment="1">
      <alignment vertical="center"/>
      <protection/>
    </xf>
    <xf numFmtId="0" fontId="17" fillId="0" borderId="0" xfId="72" applyFont="1" applyFill="1" applyAlignment="1">
      <alignment vertical="center"/>
      <protection/>
    </xf>
    <xf numFmtId="177" fontId="17" fillId="0" borderId="0" xfId="64" applyNumberFormat="1" applyFont="1" applyFill="1" applyAlignment="1">
      <alignment vertical="center"/>
    </xf>
    <xf numFmtId="177" fontId="17" fillId="0" borderId="0" xfId="64" applyNumberFormat="1" applyFont="1" applyFill="1" applyAlignment="1">
      <alignment horizontal="right" vertical="center"/>
    </xf>
    <xf numFmtId="177" fontId="17" fillId="0" borderId="11" xfId="64" applyNumberFormat="1" applyFont="1" applyFill="1" applyBorder="1" applyAlignment="1">
      <alignment horizontal="centerContinuous" vertical="center"/>
    </xf>
    <xf numFmtId="177" fontId="17" fillId="0" borderId="12" xfId="64" applyNumberFormat="1" applyFont="1" applyFill="1" applyBorder="1" applyAlignment="1">
      <alignment horizontal="centerContinuous" vertical="center"/>
    </xf>
    <xf numFmtId="0" fontId="17" fillId="0" borderId="13" xfId="72" applyFont="1" applyFill="1" applyBorder="1" applyAlignment="1">
      <alignment horizontal="center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177" fontId="17" fillId="0" borderId="14" xfId="64" applyNumberFormat="1" applyFont="1" applyFill="1" applyBorder="1" applyAlignment="1">
      <alignment horizontal="center" vertical="center"/>
    </xf>
    <xf numFmtId="177" fontId="17" fillId="0" borderId="15" xfId="64" applyNumberFormat="1" applyFont="1" applyFill="1" applyBorder="1" applyAlignment="1">
      <alignment horizontal="center" vertical="center"/>
    </xf>
    <xf numFmtId="0" fontId="17" fillId="0" borderId="11" xfId="72" applyFont="1" applyFill="1" applyBorder="1" applyAlignment="1">
      <alignment horizontal="center" vertical="center"/>
      <protection/>
    </xf>
    <xf numFmtId="177" fontId="17" fillId="0" borderId="11" xfId="64" applyNumberFormat="1" applyFont="1" applyFill="1" applyBorder="1" applyAlignment="1">
      <alignment horizontal="right" vertical="center"/>
    </xf>
    <xf numFmtId="177" fontId="15" fillId="0" borderId="11" xfId="64" applyNumberFormat="1" applyFont="1" applyFill="1" applyBorder="1" applyAlignment="1">
      <alignment horizontal="right" vertical="center"/>
    </xf>
    <xf numFmtId="177" fontId="15" fillId="0" borderId="12" xfId="64" applyNumberFormat="1" applyFont="1" applyFill="1" applyBorder="1" applyAlignment="1">
      <alignment horizontal="right" vertical="center"/>
    </xf>
    <xf numFmtId="0" fontId="17" fillId="0" borderId="19" xfId="72" applyFont="1" applyFill="1" applyBorder="1" applyAlignment="1">
      <alignment horizontal="center" vertical="center"/>
      <protection/>
    </xf>
    <xf numFmtId="0" fontId="17" fillId="0" borderId="17" xfId="72" applyFont="1" applyFill="1" applyBorder="1" applyAlignment="1">
      <alignment horizontal="left" vertical="center"/>
      <protection/>
    </xf>
    <xf numFmtId="177" fontId="17" fillId="0" borderId="18" xfId="64" applyNumberFormat="1" applyFont="1" applyFill="1" applyBorder="1" applyAlignment="1">
      <alignment horizontal="right" vertical="center"/>
    </xf>
    <xf numFmtId="0" fontId="17" fillId="0" borderId="20" xfId="72" applyFont="1" applyFill="1" applyBorder="1" applyAlignment="1">
      <alignment horizontal="center" vertical="center"/>
      <protection/>
    </xf>
    <xf numFmtId="177" fontId="15" fillId="0" borderId="17" xfId="64" applyNumberFormat="1" applyFont="1" applyFill="1" applyBorder="1" applyAlignment="1">
      <alignment horizontal="right" vertical="center"/>
    </xf>
    <xf numFmtId="177" fontId="15" fillId="0" borderId="18" xfId="64" applyNumberFormat="1" applyFont="1" applyFill="1" applyBorder="1" applyAlignment="1">
      <alignment horizontal="right" vertical="center"/>
    </xf>
    <xf numFmtId="177" fontId="17" fillId="0" borderId="29" xfId="64" applyNumberFormat="1" applyFont="1" applyFill="1" applyBorder="1" applyAlignment="1">
      <alignment horizontal="right" vertical="center"/>
    </xf>
    <xf numFmtId="177" fontId="17" fillId="0" borderId="91" xfId="64" applyNumberFormat="1" applyFont="1" applyFill="1" applyBorder="1" applyAlignment="1">
      <alignment horizontal="right" vertical="center"/>
    </xf>
    <xf numFmtId="0" fontId="17" fillId="0" borderId="22" xfId="72" applyFont="1" applyFill="1" applyBorder="1" applyAlignment="1">
      <alignment vertical="center"/>
      <protection/>
    </xf>
    <xf numFmtId="177" fontId="17" fillId="0" borderId="22" xfId="64" applyNumberFormat="1" applyFont="1" applyFill="1" applyBorder="1" applyAlignment="1">
      <alignment horizontal="right" vertical="center"/>
    </xf>
    <xf numFmtId="177" fontId="17" fillId="0" borderId="23" xfId="64" applyNumberFormat="1" applyFont="1" applyFill="1" applyBorder="1" applyAlignment="1">
      <alignment horizontal="right" vertical="center"/>
    </xf>
    <xf numFmtId="0" fontId="15" fillId="0" borderId="17" xfId="72" applyFont="1" applyFill="1" applyBorder="1" applyAlignment="1">
      <alignment horizontal="center" vertical="center"/>
      <protection/>
    </xf>
    <xf numFmtId="176" fontId="15" fillId="0" borderId="18" xfId="64" applyNumberFormat="1" applyFont="1" applyFill="1" applyBorder="1" applyAlignment="1">
      <alignment horizontal="right" vertical="center"/>
    </xf>
    <xf numFmtId="177" fontId="15" fillId="0" borderId="14" xfId="64" applyNumberFormat="1" applyFont="1" applyFill="1" applyBorder="1" applyAlignment="1">
      <alignment horizontal="right" vertical="center"/>
    </xf>
    <xf numFmtId="177" fontId="15" fillId="0" borderId="15" xfId="64" applyNumberFormat="1" applyFont="1" applyFill="1" applyBorder="1" applyAlignment="1">
      <alignment horizontal="right" vertical="center"/>
    </xf>
    <xf numFmtId="0" fontId="16" fillId="0" borderId="0" xfId="72" applyFont="1" applyFill="1">
      <alignment/>
      <protection/>
    </xf>
    <xf numFmtId="177" fontId="16" fillId="0" borderId="0" xfId="72" applyNumberFormat="1" applyFont="1" applyFill="1">
      <alignment/>
      <protection/>
    </xf>
    <xf numFmtId="0" fontId="11" fillId="0" borderId="0" xfId="72" applyFill="1">
      <alignment/>
      <protection/>
    </xf>
    <xf numFmtId="0" fontId="32" fillId="0" borderId="0" xfId="0" applyFont="1" applyFill="1" applyBorder="1" applyAlignment="1">
      <alignment horizontal="centerContinuous" vertical="center"/>
    </xf>
    <xf numFmtId="0" fontId="31" fillId="0" borderId="0" xfId="49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178" fontId="31" fillId="0" borderId="0" xfId="49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92" xfId="0" applyFont="1" applyFill="1" applyBorder="1" applyAlignment="1">
      <alignment horizontal="centerContinuous" vertical="center"/>
    </xf>
    <xf numFmtId="0" fontId="31" fillId="0" borderId="93" xfId="0" applyFont="1" applyFill="1" applyBorder="1" applyAlignment="1">
      <alignment horizontal="centerContinuous" vertical="center"/>
    </xf>
    <xf numFmtId="0" fontId="31" fillId="0" borderId="0" xfId="49" applyFont="1" applyFill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3" fontId="31" fillId="0" borderId="91" xfId="0" applyNumberFormat="1" applyFont="1" applyFill="1" applyBorder="1" applyAlignment="1">
      <alignment vertical="center"/>
    </xf>
    <xf numFmtId="10" fontId="23" fillId="0" borderId="0" xfId="0" applyNumberFormat="1" applyFont="1" applyFill="1" applyAlignment="1">
      <alignment vertical="center"/>
    </xf>
    <xf numFmtId="3" fontId="23" fillId="0" borderId="94" xfId="0" applyNumberFormat="1" applyFont="1" applyFill="1" applyBorder="1" applyAlignment="1">
      <alignment vertical="center"/>
    </xf>
    <xf numFmtId="3" fontId="23" fillId="0" borderId="43" xfId="0" applyNumberFormat="1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3" fontId="33" fillId="0" borderId="17" xfId="0" applyNumberFormat="1" applyFon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3" fontId="31" fillId="0" borderId="15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49" applyFont="1" applyFill="1" applyAlignment="1">
      <alignment vertical="center"/>
    </xf>
    <xf numFmtId="0" fontId="31" fillId="0" borderId="95" xfId="0" applyFont="1" applyFill="1" applyBorder="1" applyAlignment="1">
      <alignment vertical="center"/>
    </xf>
    <xf numFmtId="0" fontId="33" fillId="0" borderId="96" xfId="0" applyFont="1" applyFill="1" applyBorder="1" applyAlignment="1">
      <alignment horizontal="centerContinuous" vertical="center"/>
    </xf>
    <xf numFmtId="0" fontId="33" fillId="0" borderId="21" xfId="0" applyFont="1" applyFill="1" applyBorder="1" applyAlignment="1">
      <alignment horizontal="centerContinuous" vertical="center"/>
    </xf>
    <xf numFmtId="0" fontId="33" fillId="0" borderId="97" xfId="0" applyFont="1" applyFill="1" applyBorder="1" applyAlignment="1">
      <alignment horizontal="centerContinuous" vertical="center"/>
    </xf>
    <xf numFmtId="0" fontId="33" fillId="0" borderId="13" xfId="0" applyFont="1" applyFill="1" applyBorder="1" applyAlignment="1">
      <alignment horizontal="centerContinuous" vertical="center"/>
    </xf>
    <xf numFmtId="3" fontId="33" fillId="0" borderId="14" xfId="0" applyNumberFormat="1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Continuous" vertical="center"/>
    </xf>
    <xf numFmtId="177" fontId="17" fillId="0" borderId="98" xfId="64" applyNumberFormat="1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vertical="center"/>
    </xf>
    <xf numFmtId="0" fontId="15" fillId="0" borderId="10" xfId="72" applyFont="1" applyFill="1" applyBorder="1" applyAlignment="1">
      <alignment horizontal="left" vertical="center"/>
      <protection/>
    </xf>
    <xf numFmtId="0" fontId="15" fillId="0" borderId="21" xfId="72" applyFont="1" applyFill="1" applyBorder="1" applyAlignment="1">
      <alignment horizontal="left" vertical="center"/>
      <protection/>
    </xf>
    <xf numFmtId="0" fontId="31" fillId="0" borderId="10" xfId="0" applyFont="1" applyFill="1" applyBorder="1" applyAlignment="1">
      <alignment vertical="center"/>
    </xf>
    <xf numFmtId="177" fontId="17" fillId="0" borderId="17" xfId="71" applyNumberFormat="1" applyFont="1" applyFill="1" applyBorder="1" applyAlignment="1">
      <alignment vertical="center"/>
      <protection/>
    </xf>
    <xf numFmtId="0" fontId="15" fillId="0" borderId="20" xfId="71" applyFont="1" applyFill="1" applyBorder="1" applyAlignment="1">
      <alignment vertical="center"/>
      <protection/>
    </xf>
    <xf numFmtId="0" fontId="15" fillId="0" borderId="22" xfId="71" applyFont="1" applyFill="1" applyBorder="1" applyAlignment="1">
      <alignment vertical="center"/>
      <protection/>
    </xf>
    <xf numFmtId="177" fontId="15" fillId="0" borderId="22" xfId="63" applyNumberFormat="1" applyFont="1" applyFill="1" applyBorder="1" applyAlignment="1">
      <alignment vertical="center"/>
    </xf>
    <xf numFmtId="177" fontId="15" fillId="0" borderId="23" xfId="63" applyNumberFormat="1" applyFont="1" applyFill="1" applyBorder="1" applyAlignment="1">
      <alignment vertical="center"/>
    </xf>
    <xf numFmtId="0" fontId="17" fillId="0" borderId="95" xfId="71" applyFont="1" applyFill="1" applyBorder="1" applyAlignment="1">
      <alignment vertical="center"/>
      <protection/>
    </xf>
    <xf numFmtId="0" fontId="17" fillId="0" borderId="14" xfId="71" applyFont="1" applyFill="1" applyBorder="1" applyAlignment="1">
      <alignment vertical="center"/>
      <protection/>
    </xf>
    <xf numFmtId="177" fontId="17" fillId="0" borderId="14" xfId="63" applyNumberFormat="1" applyFont="1" applyFill="1" applyBorder="1" applyAlignment="1">
      <alignment vertical="center"/>
    </xf>
    <xf numFmtId="177" fontId="17" fillId="0" borderId="15" xfId="63" applyNumberFormat="1" applyFont="1" applyFill="1" applyBorder="1" applyAlignment="1">
      <alignment vertical="center"/>
    </xf>
    <xf numFmtId="176" fontId="17" fillId="0" borderId="22" xfId="63" applyNumberFormat="1" applyFont="1" applyFill="1" applyBorder="1" applyAlignment="1">
      <alignment vertical="center"/>
    </xf>
    <xf numFmtId="176" fontId="17" fillId="0" borderId="23" xfId="63" applyNumberFormat="1" applyFont="1" applyFill="1" applyBorder="1" applyAlignment="1">
      <alignment vertical="center"/>
    </xf>
    <xf numFmtId="0" fontId="33" fillId="34" borderId="10" xfId="0" applyFont="1" applyFill="1" applyBorder="1" applyAlignment="1">
      <alignment vertical="center"/>
    </xf>
    <xf numFmtId="0" fontId="33" fillId="34" borderId="11" xfId="0" applyFont="1" applyFill="1" applyBorder="1" applyAlignment="1">
      <alignment vertical="center"/>
    </xf>
    <xf numFmtId="3" fontId="33" fillId="34" borderId="11" xfId="0" applyNumberFormat="1" applyFont="1" applyFill="1" applyBorder="1" applyAlignment="1">
      <alignment vertical="center"/>
    </xf>
    <xf numFmtId="3" fontId="33" fillId="34" borderId="12" xfId="0" applyNumberFormat="1" applyFont="1" applyFill="1" applyBorder="1" applyAlignment="1">
      <alignment vertical="center"/>
    </xf>
    <xf numFmtId="0" fontId="33" fillId="34" borderId="20" xfId="0" applyFont="1" applyFill="1" applyBorder="1" applyAlignment="1">
      <alignment vertical="center"/>
    </xf>
    <xf numFmtId="0" fontId="33" fillId="34" borderId="22" xfId="0" applyFont="1" applyFill="1" applyBorder="1" applyAlignment="1">
      <alignment vertical="center"/>
    </xf>
    <xf numFmtId="3" fontId="33" fillId="34" borderId="22" xfId="0" applyNumberFormat="1" applyFont="1" applyFill="1" applyBorder="1" applyAlignment="1">
      <alignment vertical="center"/>
    </xf>
    <xf numFmtId="3" fontId="33" fillId="34" borderId="23" xfId="0" applyNumberFormat="1" applyFont="1" applyFill="1" applyBorder="1" applyAlignment="1">
      <alignment vertical="center"/>
    </xf>
    <xf numFmtId="0" fontId="33" fillId="34" borderId="21" xfId="0" applyFont="1" applyFill="1" applyBorder="1" applyAlignment="1">
      <alignment vertical="center"/>
    </xf>
    <xf numFmtId="0" fontId="33" fillId="34" borderId="17" xfId="0" applyFont="1" applyFill="1" applyBorder="1" applyAlignment="1">
      <alignment vertical="center"/>
    </xf>
    <xf numFmtId="3" fontId="33" fillId="34" borderId="17" xfId="0" applyNumberFormat="1" applyFont="1" applyFill="1" applyBorder="1" applyAlignment="1">
      <alignment vertical="center"/>
    </xf>
    <xf numFmtId="3" fontId="33" fillId="34" borderId="18" xfId="0" applyNumberFormat="1" applyFont="1" applyFill="1" applyBorder="1" applyAlignment="1">
      <alignment vertical="center"/>
    </xf>
    <xf numFmtId="0" fontId="31" fillId="34" borderId="17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3" fontId="31" fillId="0" borderId="24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centerContinuous" vertical="center"/>
    </xf>
    <xf numFmtId="49" fontId="22" fillId="33" borderId="0" xfId="0" applyNumberFormat="1" applyFont="1" applyFill="1" applyAlignment="1">
      <alignment horizontal="right" vertical="center" shrinkToFit="1"/>
    </xf>
    <xf numFmtId="49" fontId="22" fillId="33" borderId="35" xfId="0" applyNumberFormat="1" applyFont="1" applyFill="1" applyBorder="1" applyAlignment="1">
      <alignment horizontal="center" vertical="center" shrinkToFit="1"/>
    </xf>
    <xf numFmtId="49" fontId="31" fillId="33" borderId="47" xfId="49" applyNumberFormat="1" applyFont="1" applyFill="1" applyBorder="1" applyAlignment="1">
      <alignment horizontal="left" vertical="center" wrapText="1" shrinkToFit="1"/>
    </xf>
    <xf numFmtId="49" fontId="31" fillId="33" borderId="35" xfId="49" applyNumberFormat="1" applyFont="1" applyFill="1" applyBorder="1" applyAlignment="1">
      <alignment horizontal="left" vertical="center" wrapText="1" shrinkToFit="1"/>
    </xf>
    <xf numFmtId="49" fontId="31" fillId="33" borderId="48" xfId="49" applyNumberFormat="1" applyFont="1" applyFill="1" applyBorder="1" applyAlignment="1">
      <alignment horizontal="left" vertical="center" wrapText="1" shrinkToFit="1"/>
    </xf>
    <xf numFmtId="49" fontId="31" fillId="33" borderId="42" xfId="49" applyNumberFormat="1" applyFont="1" applyFill="1" applyBorder="1" applyAlignment="1">
      <alignment vertical="center" shrinkToFit="1"/>
    </xf>
    <xf numFmtId="49" fontId="22" fillId="33" borderId="0" xfId="0" applyNumberFormat="1" applyFont="1" applyFill="1" applyAlignment="1">
      <alignment vertical="center" shrinkToFit="1"/>
    </xf>
    <xf numFmtId="3" fontId="31" fillId="0" borderId="25" xfId="0" applyNumberFormat="1" applyFont="1" applyFill="1" applyBorder="1" applyAlignment="1">
      <alignment vertical="center"/>
    </xf>
    <xf numFmtId="177" fontId="23" fillId="0" borderId="50" xfId="0" applyNumberFormat="1" applyFont="1" applyFill="1" applyBorder="1" applyAlignment="1" applyProtection="1">
      <alignment vertical="center"/>
      <protection locked="0"/>
    </xf>
    <xf numFmtId="177" fontId="23" fillId="0" borderId="65" xfId="0" applyNumberFormat="1" applyFont="1" applyFill="1" applyBorder="1" applyAlignment="1" applyProtection="1">
      <alignment vertical="center"/>
      <protection locked="0"/>
    </xf>
    <xf numFmtId="3" fontId="31" fillId="0" borderId="99" xfId="0" applyNumberFormat="1" applyFont="1" applyFill="1" applyBorder="1" applyAlignment="1">
      <alignment vertical="center"/>
    </xf>
    <xf numFmtId="177" fontId="23" fillId="0" borderId="0" xfId="0" applyNumberFormat="1" applyFont="1" applyFill="1" applyAlignment="1">
      <alignment/>
    </xf>
    <xf numFmtId="177" fontId="31" fillId="0" borderId="0" xfId="0" applyNumberFormat="1" applyFont="1" applyFill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37" fontId="23" fillId="0" borderId="51" xfId="0" applyNumberFormat="1" applyFont="1" applyFill="1" applyBorder="1" applyAlignment="1">
      <alignment/>
    </xf>
    <xf numFmtId="177" fontId="23" fillId="0" borderId="56" xfId="0" applyNumberFormat="1" applyFont="1" applyFill="1" applyBorder="1" applyAlignment="1">
      <alignment/>
    </xf>
    <xf numFmtId="177" fontId="23" fillId="0" borderId="71" xfId="0" applyNumberFormat="1" applyFont="1" applyFill="1" applyBorder="1" applyAlignment="1" applyProtection="1">
      <alignment vertical="center"/>
      <protection locked="0"/>
    </xf>
    <xf numFmtId="0" fontId="22" fillId="0" borderId="72" xfId="49" applyFont="1" applyFill="1" applyBorder="1" applyAlignment="1" applyProtection="1">
      <alignment/>
      <protection/>
    </xf>
    <xf numFmtId="0" fontId="22" fillId="0" borderId="71" xfId="49" applyFont="1" applyFill="1" applyBorder="1" applyAlignment="1" applyProtection="1">
      <alignment/>
      <protection/>
    </xf>
    <xf numFmtId="177" fontId="17" fillId="0" borderId="29" xfId="63" applyNumberFormat="1" applyFont="1" applyFill="1" applyBorder="1" applyAlignment="1">
      <alignment vertical="center"/>
    </xf>
    <xf numFmtId="177" fontId="17" fillId="0" borderId="91" xfId="63" applyNumberFormat="1" applyFont="1" applyFill="1" applyBorder="1" applyAlignment="1">
      <alignment vertical="center"/>
    </xf>
    <xf numFmtId="189" fontId="0" fillId="0" borderId="0" xfId="0" applyNumberFormat="1" applyFill="1" applyAlignment="1">
      <alignment/>
    </xf>
    <xf numFmtId="0" fontId="82" fillId="0" borderId="54" xfId="0" applyFont="1" applyFill="1" applyBorder="1" applyAlignment="1">
      <alignment/>
    </xf>
    <xf numFmtId="37" fontId="82" fillId="0" borderId="55" xfId="0" applyNumberFormat="1" applyFont="1" applyFill="1" applyBorder="1" applyAlignment="1" applyProtection="1">
      <alignment/>
      <protection/>
    </xf>
    <xf numFmtId="37" fontId="82" fillId="0" borderId="57" xfId="0" applyNumberFormat="1" applyFont="1" applyFill="1" applyBorder="1" applyAlignment="1" applyProtection="1">
      <alignment/>
      <protection/>
    </xf>
    <xf numFmtId="0" fontId="83" fillId="0" borderId="17" xfId="71" applyFont="1" applyFill="1" applyBorder="1" applyAlignment="1">
      <alignment vertical="center"/>
      <protection/>
    </xf>
    <xf numFmtId="177" fontId="83" fillId="0" borderId="17" xfId="63" applyNumberFormat="1" applyFont="1" applyFill="1" applyBorder="1" applyAlignment="1">
      <alignment vertical="center"/>
    </xf>
    <xf numFmtId="3" fontId="84" fillId="0" borderId="22" xfId="0" applyNumberFormat="1" applyFont="1" applyFill="1" applyBorder="1" applyAlignment="1">
      <alignment vertical="center"/>
    </xf>
    <xf numFmtId="189" fontId="83" fillId="0" borderId="0" xfId="0" applyNumberFormat="1" applyFont="1" applyFill="1" applyBorder="1" applyAlignment="1">
      <alignment vertical="center"/>
    </xf>
    <xf numFmtId="0" fontId="83" fillId="0" borderId="17" xfId="72" applyFont="1" applyFill="1" applyBorder="1" applyAlignment="1">
      <alignment vertical="center"/>
      <protection/>
    </xf>
    <xf numFmtId="177" fontId="83" fillId="0" borderId="17" xfId="64" applyNumberFormat="1" applyFont="1" applyFill="1" applyBorder="1" applyAlignment="1">
      <alignment vertical="center"/>
    </xf>
    <xf numFmtId="0" fontId="23" fillId="0" borderId="54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85" fillId="0" borderId="54" xfId="0" applyFont="1" applyFill="1" applyBorder="1" applyAlignment="1">
      <alignment/>
    </xf>
    <xf numFmtId="0" fontId="21" fillId="0" borderId="0" xfId="49" applyFont="1" applyFill="1" applyAlignment="1">
      <alignment horizontal="centerContinuous"/>
    </xf>
    <xf numFmtId="0" fontId="22" fillId="0" borderId="0" xfId="49" applyFont="1" applyFill="1" applyAlignment="1">
      <alignment horizontal="centerContinuous"/>
    </xf>
    <xf numFmtId="0" fontId="22" fillId="0" borderId="0" xfId="49" applyFont="1" applyFill="1" applyAlignment="1">
      <alignment/>
    </xf>
    <xf numFmtId="0" fontId="22" fillId="0" borderId="0" xfId="49" applyFont="1" applyFill="1" applyAlignment="1">
      <alignment horizontal="right"/>
    </xf>
    <xf numFmtId="0" fontId="22" fillId="0" borderId="59" xfId="49" applyFont="1" applyFill="1" applyBorder="1" applyAlignment="1">
      <alignment horizontal="center"/>
    </xf>
    <xf numFmtId="0" fontId="22" fillId="0" borderId="60" xfId="49" applyFont="1" applyFill="1" applyBorder="1" applyAlignment="1">
      <alignment horizontal="center"/>
    </xf>
    <xf numFmtId="0" fontId="22" fillId="0" borderId="61" xfId="49" applyFont="1" applyFill="1" applyBorder="1" applyAlignment="1">
      <alignment horizontal="center"/>
    </xf>
    <xf numFmtId="0" fontId="23" fillId="0" borderId="0" xfId="49" applyFont="1" applyFill="1" applyAlignment="1" applyProtection="1">
      <alignment/>
      <protection/>
    </xf>
    <xf numFmtId="0" fontId="23" fillId="0" borderId="0" xfId="49" applyFont="1" applyFill="1" applyAlignment="1" applyProtection="1">
      <alignment vertical="center"/>
      <protection locked="0"/>
    </xf>
    <xf numFmtId="0" fontId="23" fillId="0" borderId="0" xfId="49" applyFont="1" applyFill="1" applyAlignment="1">
      <alignment horizontal="right"/>
    </xf>
    <xf numFmtId="0" fontId="21" fillId="0" borderId="0" xfId="49" applyFont="1" applyFill="1" applyAlignment="1">
      <alignment horizontal="centerContinuous" vertical="center" shrinkToFit="1"/>
    </xf>
    <xf numFmtId="0" fontId="22" fillId="0" borderId="0" xfId="49" applyFont="1" applyFill="1" applyAlignment="1">
      <alignment horizontal="centerContinuous" vertical="center" shrinkToFit="1"/>
    </xf>
    <xf numFmtId="0" fontId="22" fillId="0" borderId="0" xfId="49" applyFont="1" applyFill="1" applyAlignment="1">
      <alignment vertical="center" shrinkToFit="1"/>
    </xf>
    <xf numFmtId="0" fontId="86" fillId="35" borderId="63" xfId="49" applyFont="1" applyFill="1" applyBorder="1" applyAlignment="1">
      <alignment horizontal="distributed" vertical="center" shrinkToFit="1"/>
    </xf>
    <xf numFmtId="0" fontId="86" fillId="35" borderId="52" xfId="49" applyFont="1" applyFill="1" applyBorder="1" applyAlignment="1">
      <alignment horizontal="distributed" vertical="center" shrinkToFit="1"/>
    </xf>
    <xf numFmtId="0" fontId="86" fillId="35" borderId="74" xfId="49" applyFont="1" applyFill="1" applyBorder="1" applyAlignment="1">
      <alignment horizontal="distributed" vertical="center" shrinkToFit="1"/>
    </xf>
    <xf numFmtId="0" fontId="86" fillId="35" borderId="77" xfId="49" applyFont="1" applyFill="1" applyBorder="1" applyAlignment="1" applyProtection="1">
      <alignment horizontal="distributed" vertical="center" shrinkToFit="1"/>
      <protection/>
    </xf>
    <xf numFmtId="0" fontId="23" fillId="0" borderId="0" xfId="49" applyFont="1" applyFill="1" applyAlignment="1">
      <alignment vertical="center" shrinkToFit="1"/>
    </xf>
    <xf numFmtId="0" fontId="22" fillId="0" borderId="60" xfId="49" applyFont="1" applyFill="1" applyBorder="1" applyAlignment="1">
      <alignment horizontal="distributed" vertical="center" shrinkToFit="1"/>
    </xf>
    <xf numFmtId="3" fontId="86" fillId="35" borderId="63" xfId="49" applyNumberFormat="1" applyFont="1" applyFill="1" applyBorder="1" applyAlignment="1" applyProtection="1">
      <alignment/>
      <protection/>
    </xf>
    <xf numFmtId="3" fontId="86" fillId="35" borderId="54" xfId="49" applyNumberFormat="1" applyFont="1" applyFill="1" applyBorder="1" applyAlignment="1" applyProtection="1">
      <alignment/>
      <protection/>
    </xf>
    <xf numFmtId="3" fontId="86" fillId="35" borderId="52" xfId="49" applyNumberFormat="1" applyFont="1" applyFill="1" applyBorder="1" applyAlignment="1" applyProtection="1">
      <alignment/>
      <protection/>
    </xf>
    <xf numFmtId="3" fontId="87" fillId="35" borderId="0" xfId="49" applyNumberFormat="1" applyFont="1" applyFill="1" applyAlignment="1" applyProtection="1">
      <alignment vertical="center"/>
      <protection locked="0"/>
    </xf>
    <xf numFmtId="3" fontId="86" fillId="35" borderId="0" xfId="49" applyNumberFormat="1" applyFont="1" applyFill="1" applyAlignment="1" applyProtection="1">
      <alignment vertical="center"/>
      <protection locked="0"/>
    </xf>
    <xf numFmtId="3" fontId="86" fillId="35" borderId="0" xfId="49" applyNumberFormat="1" applyFont="1" applyFill="1" applyBorder="1" applyAlignment="1" applyProtection="1">
      <alignment/>
      <protection locked="0"/>
    </xf>
    <xf numFmtId="3" fontId="86" fillId="35" borderId="0" xfId="49" applyNumberFormat="1" applyFont="1" applyFill="1" applyBorder="1" applyAlignment="1" applyProtection="1">
      <alignment/>
      <protection/>
    </xf>
    <xf numFmtId="3" fontId="86" fillId="35" borderId="73" xfId="49" applyNumberFormat="1" applyFont="1" applyFill="1" applyBorder="1" applyAlignment="1" applyProtection="1">
      <alignment/>
      <protection/>
    </xf>
    <xf numFmtId="3" fontId="86" fillId="35" borderId="77" xfId="49" applyNumberFormat="1" applyFont="1" applyFill="1" applyBorder="1" applyAlignment="1" applyProtection="1">
      <alignment/>
      <protection/>
    </xf>
    <xf numFmtId="3" fontId="86" fillId="35" borderId="64" xfId="49" applyNumberFormat="1" applyFont="1" applyFill="1" applyBorder="1" applyAlignment="1" applyProtection="1">
      <alignment/>
      <protection/>
    </xf>
    <xf numFmtId="3" fontId="86" fillId="35" borderId="53" xfId="49" applyNumberFormat="1" applyFont="1" applyFill="1" applyBorder="1" applyAlignment="1" applyProtection="1">
      <alignment/>
      <protection/>
    </xf>
    <xf numFmtId="3" fontId="86" fillId="35" borderId="55" xfId="49" applyNumberFormat="1" applyFont="1" applyFill="1" applyBorder="1" applyAlignment="1" applyProtection="1">
      <alignment/>
      <protection/>
    </xf>
    <xf numFmtId="3" fontId="86" fillId="35" borderId="75" xfId="49" applyNumberFormat="1" applyFont="1" applyFill="1" applyBorder="1" applyAlignment="1" applyProtection="1">
      <alignment/>
      <protection/>
    </xf>
    <xf numFmtId="3" fontId="86" fillId="35" borderId="78" xfId="49" applyNumberFormat="1" applyFont="1" applyFill="1" applyBorder="1" applyAlignment="1" applyProtection="1">
      <alignment/>
      <protection/>
    </xf>
    <xf numFmtId="3" fontId="23" fillId="0" borderId="0" xfId="49" applyNumberFormat="1" applyFont="1" applyFill="1" applyAlignment="1" applyProtection="1">
      <alignment/>
      <protection/>
    </xf>
    <xf numFmtId="3" fontId="23" fillId="0" borderId="0" xfId="49" applyNumberFormat="1" applyFont="1" applyFill="1" applyAlignment="1">
      <alignment/>
    </xf>
    <xf numFmtId="3" fontId="86" fillId="0" borderId="0" xfId="49" applyNumberFormat="1" applyFont="1" applyFill="1" applyBorder="1" applyAlignment="1" applyProtection="1">
      <alignment vertical="center"/>
      <protection locked="0"/>
    </xf>
    <xf numFmtId="3" fontId="86" fillId="0" borderId="53" xfId="49" applyNumberFormat="1" applyFont="1" applyFill="1" applyBorder="1" applyAlignment="1" applyProtection="1">
      <alignment/>
      <protection/>
    </xf>
    <xf numFmtId="3" fontId="86" fillId="0" borderId="0" xfId="49" applyNumberFormat="1" applyFont="1" applyFill="1" applyBorder="1" applyAlignment="1" applyProtection="1">
      <alignment/>
      <protection locked="0"/>
    </xf>
    <xf numFmtId="3" fontId="86" fillId="0" borderId="0" xfId="49" applyNumberFormat="1" applyFont="1" applyFill="1" applyAlignment="1" applyProtection="1">
      <alignment vertical="center"/>
      <protection locked="0"/>
    </xf>
    <xf numFmtId="3" fontId="86" fillId="0" borderId="55" xfId="49" applyNumberFormat="1" applyFont="1" applyFill="1" applyBorder="1" applyAlignment="1" applyProtection="1">
      <alignment/>
      <protection/>
    </xf>
    <xf numFmtId="3" fontId="86" fillId="0" borderId="62" xfId="49" applyNumberFormat="1" applyFont="1" applyFill="1" applyBorder="1" applyAlignment="1" applyProtection="1">
      <alignment/>
      <protection/>
    </xf>
    <xf numFmtId="3" fontId="86" fillId="0" borderId="54" xfId="49" applyNumberFormat="1" applyFont="1" applyFill="1" applyBorder="1" applyAlignment="1" applyProtection="1">
      <alignment/>
      <protection/>
    </xf>
    <xf numFmtId="3" fontId="86" fillId="0" borderId="51" xfId="49" applyNumberFormat="1" applyFont="1" applyFill="1" applyBorder="1" applyAlignment="1">
      <alignment/>
    </xf>
    <xf numFmtId="3" fontId="86" fillId="0" borderId="65" xfId="49" applyNumberFormat="1" applyFont="1" applyFill="1" applyBorder="1" applyAlignment="1" applyProtection="1">
      <alignment/>
      <protection/>
    </xf>
    <xf numFmtId="3" fontId="86" fillId="0" borderId="71" xfId="49" applyNumberFormat="1" applyFont="1" applyFill="1" applyBorder="1" applyAlignment="1" applyProtection="1">
      <alignment/>
      <protection/>
    </xf>
    <xf numFmtId="0" fontId="86" fillId="0" borderId="52" xfId="49" applyFont="1" applyFill="1" applyBorder="1" applyAlignment="1">
      <alignment horizontal="distributed" vertical="center" shrinkToFit="1"/>
    </xf>
    <xf numFmtId="3" fontId="86" fillId="0" borderId="52" xfId="49" applyNumberFormat="1" applyFont="1" applyFill="1" applyBorder="1" applyAlignment="1" applyProtection="1">
      <alignment/>
      <protection/>
    </xf>
    <xf numFmtId="3" fontId="86" fillId="0" borderId="67" xfId="49" applyNumberFormat="1" applyFont="1" applyFill="1" applyBorder="1" applyAlignment="1" applyProtection="1">
      <alignment/>
      <protection/>
    </xf>
    <xf numFmtId="0" fontId="86" fillId="0" borderId="67" xfId="49" applyFont="1" applyFill="1" applyBorder="1" applyAlignment="1">
      <alignment horizontal="distributed" vertical="center" shrinkToFit="1"/>
    </xf>
    <xf numFmtId="3" fontId="86" fillId="0" borderId="87" xfId="49" applyNumberFormat="1" applyFont="1" applyFill="1" applyBorder="1" applyAlignment="1" applyProtection="1">
      <alignment vertical="center"/>
      <protection locked="0"/>
    </xf>
    <xf numFmtId="3" fontId="86" fillId="0" borderId="68" xfId="49" applyNumberFormat="1" applyFont="1" applyFill="1" applyBorder="1" applyAlignment="1" applyProtection="1">
      <alignment/>
      <protection/>
    </xf>
    <xf numFmtId="3" fontId="86" fillId="0" borderId="83" xfId="49" applyNumberFormat="1" applyFont="1" applyFill="1" applyBorder="1" applyAlignment="1" applyProtection="1">
      <alignment horizontal="right" vertical="center"/>
      <protection/>
    </xf>
    <xf numFmtId="3" fontId="86" fillId="0" borderId="100" xfId="49" applyNumberFormat="1" applyFont="1" applyFill="1" applyBorder="1" applyAlignment="1" applyProtection="1">
      <alignment/>
      <protection locked="0"/>
    </xf>
    <xf numFmtId="3" fontId="86" fillId="0" borderId="101" xfId="49" applyNumberFormat="1" applyFont="1" applyFill="1" applyBorder="1" applyAlignment="1" applyProtection="1">
      <alignment vertical="center"/>
      <protection locked="0"/>
    </xf>
    <xf numFmtId="0" fontId="86" fillId="0" borderId="101" xfId="49" applyFont="1" applyFill="1" applyBorder="1" applyAlignment="1">
      <alignment horizontal="distributed" vertical="center" shrinkToFit="1"/>
    </xf>
    <xf numFmtId="3" fontId="86" fillId="0" borderId="102" xfId="49" applyNumberFormat="1" applyFont="1" applyFill="1" applyBorder="1" applyAlignment="1" applyProtection="1">
      <alignment/>
      <protection locked="0"/>
    </xf>
    <xf numFmtId="3" fontId="86" fillId="0" borderId="72" xfId="49" applyNumberFormat="1" applyFont="1" applyFill="1" applyBorder="1" applyAlignment="1" applyProtection="1">
      <alignment/>
      <protection/>
    </xf>
    <xf numFmtId="3" fontId="87" fillId="0" borderId="0" xfId="49" applyNumberFormat="1" applyFont="1" applyFill="1" applyAlignment="1">
      <alignment/>
    </xf>
    <xf numFmtId="3" fontId="86" fillId="0" borderId="0" xfId="49" applyNumberFormat="1" applyFont="1" applyFill="1" applyBorder="1" applyAlignment="1" applyProtection="1">
      <alignment/>
      <protection/>
    </xf>
    <xf numFmtId="0" fontId="86" fillId="0" borderId="52" xfId="49" applyFont="1" applyFill="1" applyBorder="1" applyAlignment="1">
      <alignment horizontal="distributed" vertical="center"/>
    </xf>
    <xf numFmtId="0" fontId="86" fillId="36" borderId="52" xfId="49" applyFont="1" applyFill="1" applyBorder="1" applyAlignment="1">
      <alignment horizontal="distributed" vertical="center" shrinkToFit="1"/>
    </xf>
    <xf numFmtId="0" fontId="22" fillId="36" borderId="52" xfId="0" applyFont="1" applyFill="1" applyBorder="1" applyAlignment="1">
      <alignment horizontal="distributed"/>
    </xf>
    <xf numFmtId="0" fontId="23" fillId="36" borderId="54" xfId="0" applyFont="1" applyFill="1" applyBorder="1" applyAlignment="1">
      <alignment/>
    </xf>
    <xf numFmtId="0" fontId="40" fillId="0" borderId="0" xfId="70">
      <alignment/>
      <protection/>
    </xf>
    <xf numFmtId="177" fontId="40" fillId="0" borderId="0" xfId="70" applyNumberFormat="1">
      <alignment/>
      <protection/>
    </xf>
    <xf numFmtId="37" fontId="28" fillId="37" borderId="55" xfId="0" applyNumberFormat="1" applyFont="1" applyFill="1" applyBorder="1" applyAlignment="1" applyProtection="1">
      <alignment/>
      <protection/>
    </xf>
    <xf numFmtId="179" fontId="0" fillId="0" borderId="0" xfId="0" applyNumberFormat="1" applyAlignment="1">
      <alignment/>
    </xf>
    <xf numFmtId="179" fontId="40" fillId="0" borderId="0" xfId="70" applyNumberFormat="1">
      <alignment/>
      <protection/>
    </xf>
    <xf numFmtId="3" fontId="28" fillId="37" borderId="52" xfId="0" applyNumberFormat="1" applyFont="1" applyFill="1" applyBorder="1" applyAlignment="1">
      <alignment/>
    </xf>
    <xf numFmtId="37" fontId="28" fillId="37" borderId="87" xfId="0" applyNumberFormat="1" applyFont="1" applyFill="1" applyBorder="1" applyAlignment="1" applyProtection="1">
      <alignment/>
      <protection/>
    </xf>
    <xf numFmtId="179" fontId="23" fillId="0" borderId="0" xfId="49" applyNumberFormat="1" applyFont="1" applyFill="1" applyAlignment="1">
      <alignment/>
    </xf>
    <xf numFmtId="179" fontId="23" fillId="0" borderId="0" xfId="49" applyNumberFormat="1" applyFont="1" applyFill="1" applyAlignment="1">
      <alignment vertical="center" shrinkToFit="1"/>
    </xf>
    <xf numFmtId="189" fontId="23" fillId="0" borderId="0" xfId="49" applyNumberFormat="1" applyFont="1" applyFill="1" applyAlignment="1" applyProtection="1">
      <alignment/>
      <protection/>
    </xf>
    <xf numFmtId="189" fontId="31" fillId="0" borderId="0" xfId="49" applyNumberFormat="1" applyFont="1" applyFill="1" applyAlignment="1">
      <alignment/>
    </xf>
    <xf numFmtId="189" fontId="23" fillId="0" borderId="0" xfId="49" applyNumberFormat="1" applyFont="1" applyFill="1" applyAlignment="1">
      <alignment/>
    </xf>
    <xf numFmtId="189" fontId="22" fillId="0" borderId="0" xfId="49" applyNumberFormat="1" applyFont="1" applyFill="1" applyBorder="1" applyAlignment="1" applyProtection="1">
      <alignment/>
      <protection/>
    </xf>
    <xf numFmtId="189" fontId="23" fillId="0" borderId="0" xfId="49" applyNumberFormat="1" applyFont="1" applyFill="1" applyAlignment="1">
      <alignment horizontal="center"/>
    </xf>
    <xf numFmtId="3" fontId="86" fillId="36" borderId="0" xfId="49" applyNumberFormat="1" applyFont="1" applyFill="1" applyAlignment="1" applyProtection="1">
      <alignment vertical="center"/>
      <protection locked="0"/>
    </xf>
    <xf numFmtId="37" fontId="28" fillId="38" borderId="55" xfId="0" applyNumberFormat="1" applyFont="1" applyFill="1" applyBorder="1" applyAlignment="1" applyProtection="1">
      <alignment/>
      <protection/>
    </xf>
    <xf numFmtId="37" fontId="23" fillId="38" borderId="55" xfId="0" applyNumberFormat="1" applyFont="1" applyFill="1" applyBorder="1" applyAlignment="1" applyProtection="1">
      <alignment/>
      <protection/>
    </xf>
    <xf numFmtId="0" fontId="17" fillId="0" borderId="16" xfId="72" applyFont="1" applyFill="1" applyBorder="1" applyAlignment="1">
      <alignment vertical="center"/>
      <protection/>
    </xf>
    <xf numFmtId="3" fontId="86" fillId="39" borderId="0" xfId="49" applyNumberFormat="1" applyFont="1" applyFill="1" applyAlignment="1" applyProtection="1">
      <alignment vertical="center"/>
      <protection locked="0"/>
    </xf>
    <xf numFmtId="3" fontId="86" fillId="39" borderId="0" xfId="49" applyNumberFormat="1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  <xf numFmtId="176" fontId="22" fillId="33" borderId="0" xfId="0" applyNumberFormat="1" applyFont="1" applyFill="1" applyAlignment="1">
      <alignment vertical="center" shrinkToFit="1"/>
    </xf>
    <xf numFmtId="176" fontId="23" fillId="33" borderId="27" xfId="49" applyNumberFormat="1" applyFont="1" applyFill="1" applyBorder="1" applyAlignment="1">
      <alignment horizontal="right" vertical="center" shrinkToFit="1"/>
    </xf>
    <xf numFmtId="0" fontId="15" fillId="0" borderId="21" xfId="72" applyFont="1" applyFill="1" applyBorder="1" applyAlignment="1">
      <alignment horizontal="center" vertical="center"/>
      <protection/>
    </xf>
    <xf numFmtId="0" fontId="15" fillId="0" borderId="17" xfId="72" applyFont="1" applyFill="1" applyBorder="1" applyAlignment="1">
      <alignment horizontal="center" vertical="center"/>
      <protection/>
    </xf>
    <xf numFmtId="0" fontId="15" fillId="0" borderId="103" xfId="72" applyFont="1" applyFill="1" applyBorder="1" applyAlignment="1">
      <alignment horizontal="center" vertical="center"/>
      <protection/>
    </xf>
    <xf numFmtId="0" fontId="15" fillId="0" borderId="104" xfId="72" applyFont="1" applyFill="1" applyBorder="1" applyAlignment="1">
      <alignment horizontal="center" vertical="center"/>
      <protection/>
    </xf>
    <xf numFmtId="0" fontId="31" fillId="0" borderId="3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05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shrinkToFit="1"/>
    </xf>
    <xf numFmtId="0" fontId="22" fillId="33" borderId="0" xfId="0" applyFont="1" applyFill="1" applyAlignment="1">
      <alignment horizontal="center" vertical="center" shrinkToFit="1"/>
    </xf>
    <xf numFmtId="0" fontId="22" fillId="33" borderId="109" xfId="0" applyFont="1" applyFill="1" applyBorder="1" applyAlignment="1">
      <alignment horizontal="center" vertical="center" shrinkToFit="1"/>
    </xf>
    <xf numFmtId="0" fontId="22" fillId="33" borderId="110" xfId="0" applyFont="1" applyFill="1" applyBorder="1" applyAlignment="1">
      <alignment horizontal="center" vertical="center" shrinkToFit="1"/>
    </xf>
    <xf numFmtId="0" fontId="22" fillId="33" borderId="111" xfId="0" applyFont="1" applyFill="1" applyBorder="1" applyAlignment="1">
      <alignment horizontal="center" vertical="center" shrinkToFit="1"/>
    </xf>
    <xf numFmtId="181" fontId="31" fillId="0" borderId="47" xfId="0" applyNumberFormat="1" applyFont="1" applyBorder="1" applyAlignment="1">
      <alignment horizontal="left" vertical="center" wrapText="1"/>
    </xf>
    <xf numFmtId="181" fontId="31" fillId="0" borderId="35" xfId="0" applyNumberFormat="1" applyFont="1" applyBorder="1" applyAlignment="1">
      <alignment horizontal="left" vertical="center" wrapText="1"/>
    </xf>
    <xf numFmtId="49" fontId="31" fillId="33" borderId="112" xfId="49" applyNumberFormat="1" applyFont="1" applyFill="1" applyBorder="1" applyAlignment="1">
      <alignment horizontal="left" vertical="center" wrapText="1" shrinkToFit="1"/>
    </xf>
    <xf numFmtId="49" fontId="31" fillId="33" borderId="47" xfId="49" applyNumberFormat="1" applyFont="1" applyFill="1" applyBorder="1" applyAlignment="1" quotePrefix="1">
      <alignment horizontal="left" vertical="center" wrapText="1" shrinkToFit="1"/>
    </xf>
    <xf numFmtId="49" fontId="31" fillId="33" borderId="35" xfId="49" applyNumberFormat="1" applyFont="1" applyFill="1" applyBorder="1" applyAlignment="1">
      <alignment horizontal="left" vertical="center" wrapText="1" shrinkToFit="1"/>
    </xf>
    <xf numFmtId="49" fontId="31" fillId="33" borderId="47" xfId="49" applyNumberFormat="1" applyFont="1" applyFill="1" applyBorder="1" applyAlignment="1">
      <alignment horizontal="left" vertical="center" wrapText="1" shrinkToFit="1"/>
    </xf>
    <xf numFmtId="49" fontId="31" fillId="33" borderId="47" xfId="49" applyNumberFormat="1" applyFont="1" applyFill="1" applyBorder="1" applyAlignment="1">
      <alignment horizontal="center" vertical="center" wrapText="1" shrinkToFit="1"/>
    </xf>
    <xf numFmtId="49" fontId="31" fillId="33" borderId="35" xfId="49" applyNumberFormat="1" applyFont="1" applyFill="1" applyBorder="1" applyAlignment="1">
      <alignment horizontal="center" vertical="center" wrapText="1" shrinkToFit="1"/>
    </xf>
    <xf numFmtId="0" fontId="22" fillId="33" borderId="113" xfId="0" applyFont="1" applyFill="1" applyBorder="1" applyAlignment="1">
      <alignment horizontal="left" vertical="center" shrinkToFit="1"/>
    </xf>
    <xf numFmtId="49" fontId="31" fillId="33" borderId="47" xfId="49" applyNumberFormat="1" applyFont="1" applyFill="1" applyBorder="1" applyAlignment="1">
      <alignment vertical="center" wrapText="1" shrinkToFit="1"/>
    </xf>
    <xf numFmtId="49" fontId="31" fillId="33" borderId="35" xfId="49" applyNumberFormat="1" applyFont="1" applyFill="1" applyBorder="1" applyAlignment="1">
      <alignment vertical="center" wrapText="1" shrinkToFi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Sheet1" xfId="63"/>
    <cellStyle name="콤마 [0]_Sheet2" xfId="64"/>
    <cellStyle name="콤마_내부기안" xfId="65"/>
    <cellStyle name="Currency" xfId="66"/>
    <cellStyle name="Currency [0]" xfId="67"/>
    <cellStyle name="표준 2" xfId="68"/>
    <cellStyle name="표준 3" xfId="69"/>
    <cellStyle name="표준 4" xfId="70"/>
    <cellStyle name="표준_Sheet1" xfId="71"/>
    <cellStyle name="표준_Sheet2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0</xdr:row>
      <xdr:rowOff>390525</xdr:rowOff>
    </xdr:from>
    <xdr:to>
      <xdr:col>5</xdr:col>
      <xdr:colOff>638175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 flipV="1">
          <a:off x="5429250" y="3905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 fLocksWithSheet="0"/>
  </xdr:twoCellAnchor>
  <xdr:twoCellAnchor>
    <xdr:from>
      <xdr:col>3</xdr:col>
      <xdr:colOff>885825</xdr:colOff>
      <xdr:row>0</xdr:row>
      <xdr:rowOff>390525</xdr:rowOff>
    </xdr:from>
    <xdr:to>
      <xdr:col>5</xdr:col>
      <xdr:colOff>638175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 flipV="1">
          <a:off x="5429250" y="3905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</xdr:row>
      <xdr:rowOff>9525</xdr:rowOff>
    </xdr:from>
    <xdr:to>
      <xdr:col>3</xdr:col>
      <xdr:colOff>600075</xdr:colOff>
      <xdr:row>1</xdr:row>
      <xdr:rowOff>9525</xdr:rowOff>
    </xdr:to>
    <xdr:sp>
      <xdr:nvSpPr>
        <xdr:cNvPr id="1" name="Line 7"/>
        <xdr:cNvSpPr>
          <a:spLocks/>
        </xdr:cNvSpPr>
      </xdr:nvSpPr>
      <xdr:spPr>
        <a:xfrm flipV="1">
          <a:off x="2114550" y="4095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A184">
      <selection activeCell="E210" sqref="E210"/>
    </sheetView>
  </sheetViews>
  <sheetFormatPr defaultColWidth="9.00390625" defaultRowHeight="14.25"/>
  <cols>
    <col min="1" max="2" width="5.00390625" style="519" bestFit="1" customWidth="1"/>
    <col min="3" max="3" width="22.50390625" style="519" bestFit="1" customWidth="1"/>
    <col min="4" max="4" width="18.375" style="523" bestFit="1" customWidth="1"/>
    <col min="5" max="6" width="20.50390625" style="523" bestFit="1" customWidth="1"/>
    <col min="7" max="7" width="18.375" style="523" bestFit="1" customWidth="1"/>
    <col min="8" max="8" width="3.125" style="519" customWidth="1"/>
    <col min="9" max="9" width="2.625" style="519" customWidth="1"/>
    <col min="10" max="10" width="2.375" style="519" customWidth="1"/>
    <col min="11" max="12" width="8.50390625" style="519" customWidth="1"/>
    <col min="13" max="13" width="2.375" style="519" customWidth="1"/>
    <col min="14" max="14" width="15.875" style="519" customWidth="1"/>
    <col min="15" max="16" width="13.50390625" style="519" customWidth="1"/>
    <col min="17" max="17" width="12.50390625" style="519" customWidth="1"/>
    <col min="18" max="16384" width="9.00390625" style="519" customWidth="1"/>
  </cols>
  <sheetData>
    <row r="1" spans="1:14" ht="15">
      <c r="A1" t="s">
        <v>845</v>
      </c>
      <c r="B1" t="s">
        <v>846</v>
      </c>
      <c r="C1" t="s">
        <v>847</v>
      </c>
      <c r="D1" s="522">
        <v>509648489891</v>
      </c>
      <c r="E1" s="522">
        <v>2003402942052</v>
      </c>
      <c r="F1" s="522">
        <v>1493754452161</v>
      </c>
      <c r="G1" s="522">
        <v>0</v>
      </c>
      <c r="H1" t="s">
        <v>5</v>
      </c>
      <c r="I1" t="s">
        <v>848</v>
      </c>
      <c r="J1" t="s">
        <v>849</v>
      </c>
      <c r="K1" t="s">
        <v>850</v>
      </c>
      <c r="L1" t="s">
        <v>851</v>
      </c>
      <c r="M1" t="s">
        <v>852</v>
      </c>
      <c r="N1" s="519" t="s">
        <v>853</v>
      </c>
    </row>
    <row r="2" spans="1:13" ht="15">
      <c r="A2" t="s">
        <v>854</v>
      </c>
      <c r="B2" t="s">
        <v>855</v>
      </c>
      <c r="C2" t="s">
        <v>856</v>
      </c>
      <c r="D2" s="522">
        <v>186638413981</v>
      </c>
      <c r="E2" s="522">
        <v>1676102558701</v>
      </c>
      <c r="F2" s="522">
        <v>1489464144720</v>
      </c>
      <c r="G2" s="522">
        <v>0</v>
      </c>
      <c r="H2" t="s">
        <v>857</v>
      </c>
      <c r="I2" t="s">
        <v>848</v>
      </c>
      <c r="J2" t="s">
        <v>849</v>
      </c>
      <c r="K2" t="s">
        <v>850</v>
      </c>
      <c r="L2" t="s">
        <v>851</v>
      </c>
      <c r="M2" t="s">
        <v>852</v>
      </c>
    </row>
    <row r="3" spans="1:13" ht="15">
      <c r="A3" t="s">
        <v>858</v>
      </c>
      <c r="B3" t="s">
        <v>859</v>
      </c>
      <c r="C3" t="s">
        <v>860</v>
      </c>
      <c r="D3" s="522">
        <v>185277401128</v>
      </c>
      <c r="E3" s="522">
        <v>1613966860398</v>
      </c>
      <c r="F3" s="522">
        <v>1428689459270</v>
      </c>
      <c r="G3" s="522">
        <v>0</v>
      </c>
      <c r="H3" t="s">
        <v>861</v>
      </c>
      <c r="I3" t="s">
        <v>848</v>
      </c>
      <c r="J3" t="s">
        <v>849</v>
      </c>
      <c r="K3" t="s">
        <v>850</v>
      </c>
      <c r="L3" t="s">
        <v>851</v>
      </c>
      <c r="M3" t="s">
        <v>852</v>
      </c>
    </row>
    <row r="4" spans="1:13" ht="15">
      <c r="A4" t="s">
        <v>862</v>
      </c>
      <c r="B4" t="s">
        <v>863</v>
      </c>
      <c r="C4" t="s">
        <v>864</v>
      </c>
      <c r="D4" s="522">
        <v>35451460</v>
      </c>
      <c r="E4" s="522">
        <v>405049643</v>
      </c>
      <c r="F4" s="522">
        <v>369598183</v>
      </c>
      <c r="G4" s="522">
        <v>0</v>
      </c>
      <c r="H4" t="s">
        <v>275</v>
      </c>
      <c r="I4" t="s">
        <v>865</v>
      </c>
      <c r="J4" t="s">
        <v>849</v>
      </c>
      <c r="K4" t="s">
        <v>850</v>
      </c>
      <c r="L4" t="s">
        <v>851</v>
      </c>
      <c r="M4" t="s">
        <v>852</v>
      </c>
    </row>
    <row r="5" spans="1:13" ht="15">
      <c r="A5" t="s">
        <v>866</v>
      </c>
      <c r="B5" t="s">
        <v>867</v>
      </c>
      <c r="C5" t="s">
        <v>868</v>
      </c>
      <c r="D5" s="522">
        <v>156000250446</v>
      </c>
      <c r="E5" s="522">
        <v>1212077532487</v>
      </c>
      <c r="F5" s="522">
        <v>1056077282041</v>
      </c>
      <c r="G5" s="522">
        <v>0</v>
      </c>
      <c r="H5" t="s">
        <v>275</v>
      </c>
      <c r="I5" t="s">
        <v>848</v>
      </c>
      <c r="J5" t="s">
        <v>849</v>
      </c>
      <c r="K5" t="s">
        <v>850</v>
      </c>
      <c r="L5" t="s">
        <v>851</v>
      </c>
      <c r="M5" t="s">
        <v>852</v>
      </c>
    </row>
    <row r="6" spans="1:13" ht="15">
      <c r="A6" t="s">
        <v>869</v>
      </c>
      <c r="B6" t="s">
        <v>870</v>
      </c>
      <c r="C6" t="s">
        <v>871</v>
      </c>
      <c r="D6" s="522">
        <v>0</v>
      </c>
      <c r="E6" s="522">
        <v>0</v>
      </c>
      <c r="F6" s="522">
        <v>0</v>
      </c>
      <c r="G6" s="522">
        <v>0</v>
      </c>
      <c r="H6" t="s">
        <v>275</v>
      </c>
      <c r="I6" t="s">
        <v>865</v>
      </c>
      <c r="J6" t="s">
        <v>872</v>
      </c>
      <c r="K6" t="s">
        <v>850</v>
      </c>
      <c r="L6" t="s">
        <v>851</v>
      </c>
      <c r="M6" t="s">
        <v>852</v>
      </c>
    </row>
    <row r="7" spans="1:13" ht="15">
      <c r="A7" t="s">
        <v>873</v>
      </c>
      <c r="B7" t="s">
        <v>874</v>
      </c>
      <c r="C7" t="s">
        <v>875</v>
      </c>
      <c r="D7" s="522">
        <v>0</v>
      </c>
      <c r="E7" s="522">
        <v>0</v>
      </c>
      <c r="F7" s="522">
        <v>0</v>
      </c>
      <c r="G7" s="522">
        <v>0</v>
      </c>
      <c r="H7" t="s">
        <v>275</v>
      </c>
      <c r="I7" t="s">
        <v>865</v>
      </c>
      <c r="J7" t="s">
        <v>849</v>
      </c>
      <c r="K7" t="s">
        <v>850</v>
      </c>
      <c r="L7" t="s">
        <v>851</v>
      </c>
      <c r="M7" t="s">
        <v>852</v>
      </c>
    </row>
    <row r="8" spans="1:13" ht="15">
      <c r="A8" t="s">
        <v>876</v>
      </c>
      <c r="B8" t="s">
        <v>877</v>
      </c>
      <c r="C8" t="s">
        <v>878</v>
      </c>
      <c r="D8" s="522">
        <v>5516324080</v>
      </c>
      <c r="E8" s="522">
        <v>131413816321</v>
      </c>
      <c r="F8" s="522">
        <v>125897492241</v>
      </c>
      <c r="G8" s="522">
        <v>0</v>
      </c>
      <c r="H8" t="s">
        <v>275</v>
      </c>
      <c r="I8" t="s">
        <v>848</v>
      </c>
      <c r="J8" t="s">
        <v>849</v>
      </c>
      <c r="K8" t="s">
        <v>850</v>
      </c>
      <c r="L8" t="s">
        <v>851</v>
      </c>
      <c r="M8" t="s">
        <v>852</v>
      </c>
    </row>
    <row r="9" spans="1:13" ht="15">
      <c r="A9" t="s">
        <v>879</v>
      </c>
      <c r="B9" t="s">
        <v>880</v>
      </c>
      <c r="C9" t="s">
        <v>881</v>
      </c>
      <c r="D9" s="522">
        <v>7115610212</v>
      </c>
      <c r="E9" s="522">
        <v>133453963999</v>
      </c>
      <c r="F9" s="522">
        <v>126338353787</v>
      </c>
      <c r="G9" s="522">
        <v>0</v>
      </c>
      <c r="H9" t="s">
        <v>275</v>
      </c>
      <c r="I9" t="s">
        <v>848</v>
      </c>
      <c r="J9" t="s">
        <v>849</v>
      </c>
      <c r="K9" t="s">
        <v>850</v>
      </c>
      <c r="L9" t="s">
        <v>851</v>
      </c>
      <c r="M9" t="s">
        <v>852</v>
      </c>
    </row>
    <row r="10" spans="1:13" ht="15">
      <c r="A10" t="s">
        <v>882</v>
      </c>
      <c r="B10" t="s">
        <v>883</v>
      </c>
      <c r="C10" t="s">
        <v>884</v>
      </c>
      <c r="D10" s="522">
        <v>13824559713</v>
      </c>
      <c r="E10" s="522">
        <v>78736782738</v>
      </c>
      <c r="F10" s="522">
        <v>64912223025</v>
      </c>
      <c r="G10" s="522">
        <v>0</v>
      </c>
      <c r="H10" t="s">
        <v>275</v>
      </c>
      <c r="I10" t="s">
        <v>848</v>
      </c>
      <c r="J10" t="s">
        <v>849</v>
      </c>
      <c r="K10" t="s">
        <v>850</v>
      </c>
      <c r="L10" t="s">
        <v>851</v>
      </c>
      <c r="M10" t="s">
        <v>852</v>
      </c>
    </row>
    <row r="11" spans="1:13" ht="15">
      <c r="A11" t="s">
        <v>885</v>
      </c>
      <c r="B11" t="s">
        <v>886</v>
      </c>
      <c r="C11" t="s">
        <v>887</v>
      </c>
      <c r="D11" s="522">
        <v>2199519118</v>
      </c>
      <c r="E11" s="522">
        <v>6437462771</v>
      </c>
      <c r="F11" s="522">
        <v>4237943653</v>
      </c>
      <c r="G11" s="522">
        <v>0</v>
      </c>
      <c r="H11" t="s">
        <v>275</v>
      </c>
      <c r="I11" t="s">
        <v>865</v>
      </c>
      <c r="J11" t="s">
        <v>849</v>
      </c>
      <c r="K11" t="s">
        <v>850</v>
      </c>
      <c r="L11" t="s">
        <v>851</v>
      </c>
      <c r="M11" t="s">
        <v>852</v>
      </c>
    </row>
    <row r="12" spans="1:13" ht="15">
      <c r="A12" t="s">
        <v>888</v>
      </c>
      <c r="B12" t="s">
        <v>889</v>
      </c>
      <c r="C12" t="s">
        <v>890</v>
      </c>
      <c r="D12" s="522">
        <v>110388840</v>
      </c>
      <c r="E12" s="522">
        <v>2031388808</v>
      </c>
      <c r="F12" s="522">
        <v>1920999968</v>
      </c>
      <c r="G12" s="522">
        <v>0</v>
      </c>
      <c r="H12" t="s">
        <v>275</v>
      </c>
      <c r="I12" t="s">
        <v>865</v>
      </c>
      <c r="J12" t="s">
        <v>849</v>
      </c>
      <c r="K12" t="s">
        <v>850</v>
      </c>
      <c r="L12" t="s">
        <v>851</v>
      </c>
      <c r="M12" t="s">
        <v>852</v>
      </c>
    </row>
    <row r="13" spans="1:13" ht="15">
      <c r="A13" t="s">
        <v>891</v>
      </c>
      <c r="B13" t="s">
        <v>892</v>
      </c>
      <c r="C13" t="s">
        <v>893</v>
      </c>
      <c r="D13" s="522">
        <v>460431259</v>
      </c>
      <c r="E13" s="522">
        <v>47764871305</v>
      </c>
      <c r="F13" s="522">
        <v>47304440046</v>
      </c>
      <c r="G13" s="522">
        <v>0</v>
      </c>
      <c r="H13" t="s">
        <v>275</v>
      </c>
      <c r="I13" t="s">
        <v>865</v>
      </c>
      <c r="J13" t="s">
        <v>849</v>
      </c>
      <c r="K13" t="s">
        <v>850</v>
      </c>
      <c r="L13" t="s">
        <v>851</v>
      </c>
      <c r="M13" t="s">
        <v>852</v>
      </c>
    </row>
    <row r="14" spans="1:13" ht="15">
      <c r="A14" t="s">
        <v>894</v>
      </c>
      <c r="B14" t="s">
        <v>895</v>
      </c>
      <c r="C14" t="s">
        <v>896</v>
      </c>
      <c r="D14" s="522">
        <v>540000</v>
      </c>
      <c r="E14" s="522">
        <v>1970000</v>
      </c>
      <c r="F14" s="522">
        <v>1430000</v>
      </c>
      <c r="G14" s="522">
        <v>0</v>
      </c>
      <c r="H14" t="s">
        <v>275</v>
      </c>
      <c r="I14" t="s">
        <v>865</v>
      </c>
      <c r="J14" t="s">
        <v>849</v>
      </c>
      <c r="K14" t="s">
        <v>850</v>
      </c>
      <c r="L14" t="s">
        <v>851</v>
      </c>
      <c r="M14" t="s">
        <v>852</v>
      </c>
    </row>
    <row r="15" spans="1:13" ht="15">
      <c r="A15" t="s">
        <v>897</v>
      </c>
      <c r="B15" t="s">
        <v>898</v>
      </c>
      <c r="C15" t="s">
        <v>899</v>
      </c>
      <c r="D15" s="522">
        <v>0</v>
      </c>
      <c r="E15" s="522">
        <v>533266630</v>
      </c>
      <c r="F15" s="522">
        <v>533266630</v>
      </c>
      <c r="G15" s="522">
        <v>0</v>
      </c>
      <c r="H15" t="s">
        <v>275</v>
      </c>
      <c r="I15" t="s">
        <v>865</v>
      </c>
      <c r="J15" t="s">
        <v>849</v>
      </c>
      <c r="K15" t="s">
        <v>850</v>
      </c>
      <c r="L15" t="s">
        <v>851</v>
      </c>
      <c r="M15" t="s">
        <v>852</v>
      </c>
    </row>
    <row r="16" spans="1:13" ht="15">
      <c r="A16" t="s">
        <v>900</v>
      </c>
      <c r="B16" t="s">
        <v>901</v>
      </c>
      <c r="C16" t="s">
        <v>902</v>
      </c>
      <c r="D16" s="522">
        <v>0</v>
      </c>
      <c r="E16" s="522">
        <v>0</v>
      </c>
      <c r="F16" s="522">
        <v>0</v>
      </c>
      <c r="G16" s="522">
        <v>0</v>
      </c>
      <c r="H16" t="s">
        <v>275</v>
      </c>
      <c r="I16" t="s">
        <v>865</v>
      </c>
      <c r="J16" t="s">
        <v>849</v>
      </c>
      <c r="K16" t="s">
        <v>850</v>
      </c>
      <c r="L16" t="s">
        <v>851</v>
      </c>
      <c r="M16" t="s">
        <v>852</v>
      </c>
    </row>
    <row r="17" spans="1:13" ht="15">
      <c r="A17" t="s">
        <v>903</v>
      </c>
      <c r="B17" t="s">
        <v>904</v>
      </c>
      <c r="C17" t="s">
        <v>905</v>
      </c>
      <c r="D17" s="522">
        <v>14326000</v>
      </c>
      <c r="E17" s="522">
        <v>1110755696</v>
      </c>
      <c r="F17" s="522">
        <v>1096429696</v>
      </c>
      <c r="G17" s="522">
        <v>0</v>
      </c>
      <c r="H17" t="s">
        <v>275</v>
      </c>
      <c r="I17" t="s">
        <v>865</v>
      </c>
      <c r="J17" t="s">
        <v>849</v>
      </c>
      <c r="K17" t="s">
        <v>850</v>
      </c>
      <c r="L17" t="s">
        <v>851</v>
      </c>
      <c r="M17" t="s">
        <v>852</v>
      </c>
    </row>
    <row r="18" spans="1:13" ht="15">
      <c r="A18" t="s">
        <v>906</v>
      </c>
      <c r="B18" t="s">
        <v>907</v>
      </c>
      <c r="C18" t="s">
        <v>908</v>
      </c>
      <c r="D18" s="522">
        <v>468371070</v>
      </c>
      <c r="E18" s="522">
        <v>58300319316</v>
      </c>
      <c r="F18" s="522">
        <v>57831948246</v>
      </c>
      <c r="G18" s="522">
        <v>0</v>
      </c>
      <c r="H18" t="s">
        <v>861</v>
      </c>
      <c r="I18" t="s">
        <v>848</v>
      </c>
      <c r="J18" t="s">
        <v>849</v>
      </c>
      <c r="K18" t="s">
        <v>850</v>
      </c>
      <c r="L18" t="s">
        <v>851</v>
      </c>
      <c r="M18" t="s">
        <v>852</v>
      </c>
    </row>
    <row r="19" spans="1:13" ht="15">
      <c r="A19" t="s">
        <v>909</v>
      </c>
      <c r="B19" t="s">
        <v>910</v>
      </c>
      <c r="C19" t="s">
        <v>911</v>
      </c>
      <c r="D19" s="522">
        <v>435177580</v>
      </c>
      <c r="E19" s="522">
        <v>29785768909</v>
      </c>
      <c r="F19" s="522">
        <v>29350591329</v>
      </c>
      <c r="G19" s="522">
        <v>0</v>
      </c>
      <c r="H19" t="s">
        <v>275</v>
      </c>
      <c r="I19" t="s">
        <v>848</v>
      </c>
      <c r="J19" t="s">
        <v>849</v>
      </c>
      <c r="K19" t="s">
        <v>850</v>
      </c>
      <c r="L19" t="s">
        <v>851</v>
      </c>
      <c r="M19" t="s">
        <v>852</v>
      </c>
    </row>
    <row r="20" spans="1:13" ht="15">
      <c r="A20" t="s">
        <v>912</v>
      </c>
      <c r="B20" t="s">
        <v>913</v>
      </c>
      <c r="C20" t="s">
        <v>914</v>
      </c>
      <c r="D20" s="522">
        <v>27308090</v>
      </c>
      <c r="E20" s="522">
        <v>19097346996</v>
      </c>
      <c r="F20" s="522">
        <v>19070038906</v>
      </c>
      <c r="G20" s="522">
        <v>0</v>
      </c>
      <c r="H20" t="s">
        <v>275</v>
      </c>
      <c r="I20" t="s">
        <v>848</v>
      </c>
      <c r="J20" t="s">
        <v>849</v>
      </c>
      <c r="K20" t="s">
        <v>850</v>
      </c>
      <c r="L20" t="s">
        <v>851</v>
      </c>
      <c r="M20" t="s">
        <v>852</v>
      </c>
    </row>
    <row r="21" spans="1:13" ht="15">
      <c r="A21" t="s">
        <v>915</v>
      </c>
      <c r="B21" t="s">
        <v>916</v>
      </c>
      <c r="C21" t="s">
        <v>917</v>
      </c>
      <c r="D21" s="522">
        <v>5885400</v>
      </c>
      <c r="E21" s="522">
        <v>9417203411</v>
      </c>
      <c r="F21" s="522">
        <v>9411318011</v>
      </c>
      <c r="G21" s="522">
        <v>0</v>
      </c>
      <c r="H21" t="s">
        <v>275</v>
      </c>
      <c r="I21" t="s">
        <v>848</v>
      </c>
      <c r="J21" t="s">
        <v>849</v>
      </c>
      <c r="K21" t="s">
        <v>850</v>
      </c>
      <c r="L21" t="s">
        <v>851</v>
      </c>
      <c r="M21" t="s">
        <v>852</v>
      </c>
    </row>
    <row r="22" spans="1:13" ht="15">
      <c r="A22" t="s">
        <v>918</v>
      </c>
      <c r="B22" t="s">
        <v>919</v>
      </c>
      <c r="C22" t="s">
        <v>920</v>
      </c>
      <c r="D22" s="522">
        <v>0</v>
      </c>
      <c r="E22" s="522">
        <v>0</v>
      </c>
      <c r="F22" s="522">
        <v>0</v>
      </c>
      <c r="G22" s="522">
        <v>0</v>
      </c>
      <c r="H22" t="s">
        <v>275</v>
      </c>
      <c r="I22" t="s">
        <v>848</v>
      </c>
      <c r="J22" t="s">
        <v>849</v>
      </c>
      <c r="K22" t="s">
        <v>850</v>
      </c>
      <c r="L22" t="s">
        <v>851</v>
      </c>
      <c r="M22" t="s">
        <v>852</v>
      </c>
    </row>
    <row r="23" spans="1:13" ht="15">
      <c r="A23" t="s">
        <v>921</v>
      </c>
      <c r="B23" t="s">
        <v>922</v>
      </c>
      <c r="C23" t="s">
        <v>923</v>
      </c>
      <c r="D23" s="522">
        <v>0</v>
      </c>
      <c r="E23" s="522">
        <v>0</v>
      </c>
      <c r="F23" s="522">
        <v>0</v>
      </c>
      <c r="G23" s="522">
        <v>0</v>
      </c>
      <c r="H23" t="s">
        <v>275</v>
      </c>
      <c r="I23" t="s">
        <v>848</v>
      </c>
      <c r="J23" t="s">
        <v>849</v>
      </c>
      <c r="K23" t="s">
        <v>850</v>
      </c>
      <c r="L23" t="s">
        <v>851</v>
      </c>
      <c r="M23" t="s">
        <v>852</v>
      </c>
    </row>
    <row r="24" spans="1:13" ht="15">
      <c r="A24" t="s">
        <v>924</v>
      </c>
      <c r="B24" t="s">
        <v>925</v>
      </c>
      <c r="C24" t="s">
        <v>926</v>
      </c>
      <c r="D24" s="522">
        <v>0</v>
      </c>
      <c r="E24" s="522">
        <v>0</v>
      </c>
      <c r="F24" s="522">
        <v>0</v>
      </c>
      <c r="G24" s="522">
        <v>0</v>
      </c>
      <c r="H24" t="s">
        <v>275</v>
      </c>
      <c r="I24" t="s">
        <v>865</v>
      </c>
      <c r="J24" t="s">
        <v>849</v>
      </c>
      <c r="K24" t="s">
        <v>850</v>
      </c>
      <c r="L24" t="s">
        <v>851</v>
      </c>
      <c r="M24" t="s">
        <v>852</v>
      </c>
    </row>
    <row r="25" spans="1:13" ht="15">
      <c r="A25" t="s">
        <v>927</v>
      </c>
      <c r="B25" t="s">
        <v>928</v>
      </c>
      <c r="C25" t="s">
        <v>929</v>
      </c>
      <c r="D25" s="522">
        <v>0</v>
      </c>
      <c r="E25" s="522">
        <v>0</v>
      </c>
      <c r="F25" s="522">
        <v>0</v>
      </c>
      <c r="G25" s="522">
        <v>0</v>
      </c>
      <c r="H25" t="s">
        <v>275</v>
      </c>
      <c r="I25" t="s">
        <v>865</v>
      </c>
      <c r="J25" t="s">
        <v>849</v>
      </c>
      <c r="K25" t="s">
        <v>850</v>
      </c>
      <c r="L25" t="s">
        <v>851</v>
      </c>
      <c r="M25" t="s">
        <v>852</v>
      </c>
    </row>
    <row r="26" spans="1:13" ht="15">
      <c r="A26" t="s">
        <v>930</v>
      </c>
      <c r="B26" t="s">
        <v>931</v>
      </c>
      <c r="C26" t="s">
        <v>932</v>
      </c>
      <c r="D26" s="522">
        <v>892641783</v>
      </c>
      <c r="E26" s="522">
        <v>3835378987</v>
      </c>
      <c r="F26" s="522">
        <v>2942737204</v>
      </c>
      <c r="G26" s="522">
        <v>0</v>
      </c>
      <c r="H26" t="s">
        <v>861</v>
      </c>
      <c r="I26" t="s">
        <v>848</v>
      </c>
      <c r="J26" t="s">
        <v>849</v>
      </c>
      <c r="K26" t="s">
        <v>850</v>
      </c>
      <c r="L26" t="s">
        <v>851</v>
      </c>
      <c r="M26" t="s">
        <v>852</v>
      </c>
    </row>
    <row r="27" spans="1:13" ht="15">
      <c r="A27" t="s">
        <v>933</v>
      </c>
      <c r="B27" t="s">
        <v>934</v>
      </c>
      <c r="C27" t="s">
        <v>935</v>
      </c>
      <c r="D27" s="522">
        <v>221279841</v>
      </c>
      <c r="E27" s="522">
        <v>2275312005</v>
      </c>
      <c r="F27" s="522">
        <v>2054032164</v>
      </c>
      <c r="G27" s="522">
        <v>0</v>
      </c>
      <c r="H27" t="s">
        <v>275</v>
      </c>
      <c r="I27" t="s">
        <v>865</v>
      </c>
      <c r="J27" t="s">
        <v>849</v>
      </c>
      <c r="K27" t="s">
        <v>850</v>
      </c>
      <c r="L27" t="s">
        <v>851</v>
      </c>
      <c r="M27" t="s">
        <v>852</v>
      </c>
    </row>
    <row r="28" spans="1:13" ht="15">
      <c r="A28" t="s">
        <v>936</v>
      </c>
      <c r="B28" t="s">
        <v>937</v>
      </c>
      <c r="C28" t="s">
        <v>938</v>
      </c>
      <c r="D28" s="522">
        <v>9242810</v>
      </c>
      <c r="E28" s="522">
        <v>16623030</v>
      </c>
      <c r="F28" s="522">
        <v>7380220</v>
      </c>
      <c r="G28" s="522">
        <v>0</v>
      </c>
      <c r="H28" t="s">
        <v>275</v>
      </c>
      <c r="I28" t="s">
        <v>848</v>
      </c>
      <c r="J28" t="s">
        <v>849</v>
      </c>
      <c r="K28" t="s">
        <v>850</v>
      </c>
      <c r="L28" t="s">
        <v>851</v>
      </c>
      <c r="M28" t="s">
        <v>852</v>
      </c>
    </row>
    <row r="29" spans="1:13" ht="15">
      <c r="A29" t="s">
        <v>939</v>
      </c>
      <c r="B29" t="s">
        <v>940</v>
      </c>
      <c r="C29" t="s">
        <v>941</v>
      </c>
      <c r="D29" s="522">
        <v>500554740</v>
      </c>
      <c r="E29" s="522">
        <v>841898300</v>
      </c>
      <c r="F29" s="522">
        <v>341343560</v>
      </c>
      <c r="G29" s="522">
        <v>0</v>
      </c>
      <c r="H29" t="s">
        <v>275</v>
      </c>
      <c r="I29" t="s">
        <v>865</v>
      </c>
      <c r="J29" t="s">
        <v>849</v>
      </c>
      <c r="K29" t="s">
        <v>850</v>
      </c>
      <c r="L29" t="s">
        <v>851</v>
      </c>
      <c r="M29" t="s">
        <v>852</v>
      </c>
    </row>
    <row r="30" spans="1:13" ht="15">
      <c r="A30" t="s">
        <v>942</v>
      </c>
      <c r="B30" t="s">
        <v>943</v>
      </c>
      <c r="C30" t="s">
        <v>944</v>
      </c>
      <c r="D30" s="522">
        <v>0</v>
      </c>
      <c r="E30" s="522">
        <v>0</v>
      </c>
      <c r="F30" s="522">
        <v>0</v>
      </c>
      <c r="G30" s="522">
        <v>0</v>
      </c>
      <c r="H30" t="s">
        <v>275</v>
      </c>
      <c r="I30" t="s">
        <v>865</v>
      </c>
      <c r="J30" t="s">
        <v>849</v>
      </c>
      <c r="K30" t="s">
        <v>850</v>
      </c>
      <c r="L30" t="s">
        <v>851</v>
      </c>
      <c r="M30" t="s">
        <v>852</v>
      </c>
    </row>
    <row r="31" spans="1:13" ht="15">
      <c r="A31" t="s">
        <v>945</v>
      </c>
      <c r="B31" t="s">
        <v>946</v>
      </c>
      <c r="C31" t="s">
        <v>947</v>
      </c>
      <c r="D31" s="522">
        <v>0</v>
      </c>
      <c r="E31" s="522">
        <v>0</v>
      </c>
      <c r="F31" s="522">
        <v>0</v>
      </c>
      <c r="G31" s="522">
        <v>0</v>
      </c>
      <c r="H31" t="s">
        <v>275</v>
      </c>
      <c r="I31" t="s">
        <v>865</v>
      </c>
      <c r="J31" t="s">
        <v>849</v>
      </c>
      <c r="K31" t="s">
        <v>850</v>
      </c>
      <c r="L31" t="s">
        <v>851</v>
      </c>
      <c r="M31" t="s">
        <v>852</v>
      </c>
    </row>
    <row r="32" spans="1:13" ht="15">
      <c r="A32" t="s">
        <v>948</v>
      </c>
      <c r="B32" t="s">
        <v>949</v>
      </c>
      <c r="C32" t="s">
        <v>950</v>
      </c>
      <c r="D32" s="522">
        <v>0</v>
      </c>
      <c r="E32" s="522">
        <v>0</v>
      </c>
      <c r="F32" s="522">
        <v>0</v>
      </c>
      <c r="G32" s="522">
        <v>0</v>
      </c>
      <c r="H32" t="s">
        <v>275</v>
      </c>
      <c r="I32" t="s">
        <v>865</v>
      </c>
      <c r="J32" t="s">
        <v>849</v>
      </c>
      <c r="K32" t="s">
        <v>850</v>
      </c>
      <c r="L32" t="s">
        <v>851</v>
      </c>
      <c r="M32" t="s">
        <v>852</v>
      </c>
    </row>
    <row r="33" spans="1:13" ht="15">
      <c r="A33" t="s">
        <v>951</v>
      </c>
      <c r="B33" t="s">
        <v>952</v>
      </c>
      <c r="C33" t="s">
        <v>953</v>
      </c>
      <c r="D33" s="522">
        <v>0</v>
      </c>
      <c r="E33" s="522">
        <v>0</v>
      </c>
      <c r="F33" s="522">
        <v>0</v>
      </c>
      <c r="G33" s="522">
        <v>0</v>
      </c>
      <c r="H33" t="s">
        <v>275</v>
      </c>
      <c r="I33" t="s">
        <v>865</v>
      </c>
      <c r="J33" t="s">
        <v>849</v>
      </c>
      <c r="K33" t="s">
        <v>850</v>
      </c>
      <c r="L33" t="s">
        <v>851</v>
      </c>
      <c r="M33" t="s">
        <v>852</v>
      </c>
    </row>
    <row r="34" spans="1:13" ht="15">
      <c r="A34" t="s">
        <v>954</v>
      </c>
      <c r="B34" t="s">
        <v>955</v>
      </c>
      <c r="C34" t="s">
        <v>956</v>
      </c>
      <c r="D34" s="522">
        <v>161564392</v>
      </c>
      <c r="E34" s="522">
        <v>701545652</v>
      </c>
      <c r="F34" s="522">
        <v>539981260</v>
      </c>
      <c r="G34" s="522">
        <v>0</v>
      </c>
      <c r="H34" t="s">
        <v>275</v>
      </c>
      <c r="I34" t="s">
        <v>865</v>
      </c>
      <c r="J34" t="s">
        <v>849</v>
      </c>
      <c r="K34" t="s">
        <v>850</v>
      </c>
      <c r="L34" t="s">
        <v>851</v>
      </c>
      <c r="M34" t="s">
        <v>852</v>
      </c>
    </row>
    <row r="35" spans="1:13" ht="15">
      <c r="A35" t="s">
        <v>957</v>
      </c>
      <c r="B35" t="s">
        <v>958</v>
      </c>
      <c r="C35" t="s">
        <v>959</v>
      </c>
      <c r="D35" s="522">
        <v>0</v>
      </c>
      <c r="E35" s="522">
        <v>0</v>
      </c>
      <c r="F35" s="522">
        <v>0</v>
      </c>
      <c r="G35" s="522">
        <v>0</v>
      </c>
      <c r="H35" t="s">
        <v>275</v>
      </c>
      <c r="I35" t="s">
        <v>865</v>
      </c>
      <c r="J35" t="s">
        <v>849</v>
      </c>
      <c r="K35" t="s">
        <v>850</v>
      </c>
      <c r="L35" t="s">
        <v>851</v>
      </c>
      <c r="M35" t="s">
        <v>852</v>
      </c>
    </row>
    <row r="36" spans="1:13" ht="15">
      <c r="A36" t="s">
        <v>960</v>
      </c>
      <c r="B36" t="s">
        <v>961</v>
      </c>
      <c r="C36" t="s">
        <v>962</v>
      </c>
      <c r="D36" s="522">
        <v>9014758306</v>
      </c>
      <c r="E36" s="522">
        <v>9014858306</v>
      </c>
      <c r="F36" s="522">
        <v>100000</v>
      </c>
      <c r="G36" s="522">
        <v>0</v>
      </c>
      <c r="H36" t="s">
        <v>857</v>
      </c>
      <c r="I36" t="s">
        <v>848</v>
      </c>
      <c r="J36" t="s">
        <v>849</v>
      </c>
      <c r="K36" t="s">
        <v>850</v>
      </c>
      <c r="L36" t="s">
        <v>851</v>
      </c>
      <c r="M36" t="s">
        <v>852</v>
      </c>
    </row>
    <row r="37" spans="1:13" ht="15">
      <c r="A37" t="s">
        <v>963</v>
      </c>
      <c r="B37" t="s">
        <v>964</v>
      </c>
      <c r="C37" t="s">
        <v>965</v>
      </c>
      <c r="D37" s="522">
        <v>8756481655</v>
      </c>
      <c r="E37" s="522">
        <v>8756581655</v>
      </c>
      <c r="F37" s="522">
        <v>100000</v>
      </c>
      <c r="G37" s="522">
        <v>0</v>
      </c>
      <c r="H37" t="s">
        <v>861</v>
      </c>
      <c r="I37" t="s">
        <v>848</v>
      </c>
      <c r="J37" t="s">
        <v>849</v>
      </c>
      <c r="K37" t="s">
        <v>850</v>
      </c>
      <c r="L37" t="s">
        <v>851</v>
      </c>
      <c r="M37" t="s">
        <v>852</v>
      </c>
    </row>
    <row r="38" spans="1:13" ht="15">
      <c r="A38" t="s">
        <v>966</v>
      </c>
      <c r="B38" t="s">
        <v>967</v>
      </c>
      <c r="C38" t="s">
        <v>968</v>
      </c>
      <c r="D38" s="522">
        <v>6000000000</v>
      </c>
      <c r="E38" s="522">
        <v>6000000000</v>
      </c>
      <c r="F38" s="522">
        <v>0</v>
      </c>
      <c r="G38" s="522">
        <v>0</v>
      </c>
      <c r="H38" t="s">
        <v>275</v>
      </c>
      <c r="I38" t="s">
        <v>865</v>
      </c>
      <c r="J38" t="s">
        <v>849</v>
      </c>
      <c r="K38" t="s">
        <v>850</v>
      </c>
      <c r="L38" t="s">
        <v>851</v>
      </c>
      <c r="M38" t="s">
        <v>852</v>
      </c>
    </row>
    <row r="39" spans="1:13" ht="15">
      <c r="A39" t="s">
        <v>969</v>
      </c>
      <c r="B39" t="s">
        <v>970</v>
      </c>
      <c r="C39" t="s">
        <v>971</v>
      </c>
      <c r="D39" s="522">
        <v>2002470155</v>
      </c>
      <c r="E39" s="522">
        <v>2002570155</v>
      </c>
      <c r="F39" s="522">
        <v>100000</v>
      </c>
      <c r="G39" s="522">
        <v>0</v>
      </c>
      <c r="H39" t="s">
        <v>275</v>
      </c>
      <c r="I39" t="s">
        <v>865</v>
      </c>
      <c r="J39" t="s">
        <v>849</v>
      </c>
      <c r="K39" t="s">
        <v>850</v>
      </c>
      <c r="L39" t="s">
        <v>851</v>
      </c>
      <c r="M39" t="s">
        <v>852</v>
      </c>
    </row>
    <row r="40" spans="1:13" ht="15">
      <c r="A40" t="s">
        <v>972</v>
      </c>
      <c r="B40" t="s">
        <v>973</v>
      </c>
      <c r="C40" t="s">
        <v>974</v>
      </c>
      <c r="D40" s="522">
        <v>1100000</v>
      </c>
      <c r="E40" s="522">
        <v>1100000</v>
      </c>
      <c r="F40" s="522">
        <v>0</v>
      </c>
      <c r="G40" s="522">
        <v>0</v>
      </c>
      <c r="H40" t="s">
        <v>275</v>
      </c>
      <c r="I40" t="s">
        <v>865</v>
      </c>
      <c r="J40" t="s">
        <v>849</v>
      </c>
      <c r="K40" t="s">
        <v>850</v>
      </c>
      <c r="L40" t="s">
        <v>851</v>
      </c>
      <c r="M40" t="s">
        <v>852</v>
      </c>
    </row>
    <row r="41" spans="1:13" ht="15">
      <c r="A41" t="s">
        <v>975</v>
      </c>
      <c r="B41" t="s">
        <v>976</v>
      </c>
      <c r="C41" t="s">
        <v>977</v>
      </c>
      <c r="D41" s="522">
        <v>752911500</v>
      </c>
      <c r="E41" s="522">
        <v>752911500</v>
      </c>
      <c r="F41" s="522">
        <v>0</v>
      </c>
      <c r="G41" s="522">
        <v>0</v>
      </c>
      <c r="H41" t="s">
        <v>275</v>
      </c>
      <c r="I41" t="s">
        <v>865</v>
      </c>
      <c r="J41" t="s">
        <v>849</v>
      </c>
      <c r="K41" t="s">
        <v>850</v>
      </c>
      <c r="L41" t="s">
        <v>851</v>
      </c>
      <c r="M41" t="s">
        <v>852</v>
      </c>
    </row>
    <row r="42" spans="1:13" ht="15">
      <c r="A42" t="s">
        <v>978</v>
      </c>
      <c r="B42" t="s">
        <v>979</v>
      </c>
      <c r="C42" t="s">
        <v>980</v>
      </c>
      <c r="D42" s="522">
        <v>258276651</v>
      </c>
      <c r="E42" s="522">
        <v>258276651</v>
      </c>
      <c r="F42" s="522">
        <v>0</v>
      </c>
      <c r="G42" s="522">
        <v>0</v>
      </c>
      <c r="H42" t="s">
        <v>861</v>
      </c>
      <c r="I42" t="s">
        <v>848</v>
      </c>
      <c r="J42" t="s">
        <v>849</v>
      </c>
      <c r="K42" t="s">
        <v>850</v>
      </c>
      <c r="L42" t="s">
        <v>851</v>
      </c>
      <c r="M42" t="s">
        <v>852</v>
      </c>
    </row>
    <row r="43" spans="1:13" ht="15">
      <c r="A43" t="s">
        <v>981</v>
      </c>
      <c r="B43" t="s">
        <v>982</v>
      </c>
      <c r="C43" t="s">
        <v>983</v>
      </c>
      <c r="D43" s="522">
        <v>0</v>
      </c>
      <c r="E43" s="522">
        <v>0</v>
      </c>
      <c r="F43" s="522">
        <v>0</v>
      </c>
      <c r="G43" s="522">
        <v>0</v>
      </c>
      <c r="H43" t="s">
        <v>275</v>
      </c>
      <c r="I43" t="s">
        <v>865</v>
      </c>
      <c r="J43" t="s">
        <v>849</v>
      </c>
      <c r="K43" t="s">
        <v>850</v>
      </c>
      <c r="L43" t="s">
        <v>851</v>
      </c>
      <c r="M43" t="s">
        <v>852</v>
      </c>
    </row>
    <row r="44" spans="1:13" ht="15">
      <c r="A44" t="s">
        <v>984</v>
      </c>
      <c r="B44" t="s">
        <v>985</v>
      </c>
      <c r="C44" t="s">
        <v>986</v>
      </c>
      <c r="D44" s="522">
        <v>0</v>
      </c>
      <c r="E44" s="522">
        <v>0</v>
      </c>
      <c r="F44" s="522">
        <v>0</v>
      </c>
      <c r="G44" s="522">
        <v>0</v>
      </c>
      <c r="H44" t="s">
        <v>275</v>
      </c>
      <c r="I44" t="s">
        <v>865</v>
      </c>
      <c r="J44" t="s">
        <v>849</v>
      </c>
      <c r="K44" t="s">
        <v>850</v>
      </c>
      <c r="L44" t="s">
        <v>851</v>
      </c>
      <c r="M44" t="s">
        <v>852</v>
      </c>
    </row>
    <row r="45" spans="1:13" ht="15">
      <c r="A45" t="s">
        <v>987</v>
      </c>
      <c r="B45" t="s">
        <v>988</v>
      </c>
      <c r="C45" t="s">
        <v>989</v>
      </c>
      <c r="D45" s="522">
        <v>0</v>
      </c>
      <c r="E45" s="522">
        <v>0</v>
      </c>
      <c r="F45" s="522">
        <v>0</v>
      </c>
      <c r="G45" s="522">
        <v>0</v>
      </c>
      <c r="H45" t="s">
        <v>275</v>
      </c>
      <c r="I45" t="s">
        <v>865</v>
      </c>
      <c r="J45" t="s">
        <v>849</v>
      </c>
      <c r="K45" t="s">
        <v>850</v>
      </c>
      <c r="L45" t="s">
        <v>851</v>
      </c>
      <c r="M45" t="s">
        <v>852</v>
      </c>
    </row>
    <row r="46" spans="1:13" ht="15">
      <c r="A46" t="s">
        <v>990</v>
      </c>
      <c r="B46" t="s">
        <v>991</v>
      </c>
      <c r="C46" t="s">
        <v>992</v>
      </c>
      <c r="D46" s="522">
        <v>0</v>
      </c>
      <c r="E46" s="522">
        <v>0</v>
      </c>
      <c r="F46" s="522">
        <v>0</v>
      </c>
      <c r="G46" s="522">
        <v>0</v>
      </c>
      <c r="H46" t="s">
        <v>275</v>
      </c>
      <c r="I46" t="s">
        <v>865</v>
      </c>
      <c r="J46" t="s">
        <v>849</v>
      </c>
      <c r="K46" t="s">
        <v>850</v>
      </c>
      <c r="L46" t="s">
        <v>851</v>
      </c>
      <c r="M46" t="s">
        <v>852</v>
      </c>
    </row>
    <row r="47" spans="1:13" ht="15">
      <c r="A47" t="s">
        <v>993</v>
      </c>
      <c r="B47" t="s">
        <v>994</v>
      </c>
      <c r="C47" t="s">
        <v>995</v>
      </c>
      <c r="D47" s="522">
        <v>220234000</v>
      </c>
      <c r="E47" s="522">
        <v>220234000</v>
      </c>
      <c r="F47" s="522">
        <v>0</v>
      </c>
      <c r="G47" s="522">
        <v>0</v>
      </c>
      <c r="H47" t="s">
        <v>275</v>
      </c>
      <c r="I47" t="s">
        <v>865</v>
      </c>
      <c r="J47" t="s">
        <v>849</v>
      </c>
      <c r="K47" t="s">
        <v>850</v>
      </c>
      <c r="L47" t="s">
        <v>851</v>
      </c>
      <c r="M47" t="s">
        <v>852</v>
      </c>
    </row>
    <row r="48" spans="1:13" ht="15">
      <c r="A48" t="s">
        <v>996</v>
      </c>
      <c r="B48" t="s">
        <v>997</v>
      </c>
      <c r="C48" t="s">
        <v>998</v>
      </c>
      <c r="D48" s="522">
        <v>24042651</v>
      </c>
      <c r="E48" s="522">
        <v>24042651</v>
      </c>
      <c r="F48" s="522">
        <v>0</v>
      </c>
      <c r="G48" s="522">
        <v>0</v>
      </c>
      <c r="H48" t="s">
        <v>275</v>
      </c>
      <c r="I48" t="s">
        <v>865</v>
      </c>
      <c r="J48" t="s">
        <v>849</v>
      </c>
      <c r="K48" t="s">
        <v>850</v>
      </c>
      <c r="L48" t="s">
        <v>851</v>
      </c>
      <c r="M48" t="s">
        <v>852</v>
      </c>
    </row>
    <row r="49" spans="1:13" ht="15">
      <c r="A49" t="s">
        <v>999</v>
      </c>
      <c r="B49" t="s">
        <v>1000</v>
      </c>
      <c r="C49" t="s">
        <v>1001</v>
      </c>
      <c r="D49" s="522">
        <v>0</v>
      </c>
      <c r="E49" s="522">
        <v>0</v>
      </c>
      <c r="F49" s="522">
        <v>0</v>
      </c>
      <c r="G49" s="522">
        <v>0</v>
      </c>
      <c r="H49" t="s">
        <v>275</v>
      </c>
      <c r="I49" t="s">
        <v>865</v>
      </c>
      <c r="J49" t="s">
        <v>849</v>
      </c>
      <c r="K49" t="s">
        <v>850</v>
      </c>
      <c r="L49" t="s">
        <v>851</v>
      </c>
      <c r="M49" t="s">
        <v>852</v>
      </c>
    </row>
    <row r="50" spans="1:13" ht="15">
      <c r="A50" t="s">
        <v>1002</v>
      </c>
      <c r="B50" t="s">
        <v>1003</v>
      </c>
      <c r="C50" t="s">
        <v>1004</v>
      </c>
      <c r="D50" s="522">
        <v>14000000</v>
      </c>
      <c r="E50" s="522">
        <v>14000000</v>
      </c>
      <c r="F50" s="522">
        <v>0</v>
      </c>
      <c r="G50" s="522">
        <v>0</v>
      </c>
      <c r="H50" t="s">
        <v>275</v>
      </c>
      <c r="I50" t="s">
        <v>865</v>
      </c>
      <c r="J50" t="s">
        <v>849</v>
      </c>
      <c r="K50" t="s">
        <v>850</v>
      </c>
      <c r="L50" t="s">
        <v>851</v>
      </c>
      <c r="M50" t="s">
        <v>852</v>
      </c>
    </row>
    <row r="51" spans="1:13" ht="15">
      <c r="A51" t="s">
        <v>1005</v>
      </c>
      <c r="B51" t="s">
        <v>1006</v>
      </c>
      <c r="C51" t="s">
        <v>1007</v>
      </c>
      <c r="D51" s="522">
        <v>313995317604</v>
      </c>
      <c r="E51" s="522">
        <v>318285525045</v>
      </c>
      <c r="F51" s="522">
        <v>4290207441</v>
      </c>
      <c r="G51" s="522">
        <v>0</v>
      </c>
      <c r="H51" t="s">
        <v>857</v>
      </c>
      <c r="I51" t="s">
        <v>848</v>
      </c>
      <c r="J51" t="s">
        <v>849</v>
      </c>
      <c r="K51" t="s">
        <v>850</v>
      </c>
      <c r="L51" t="s">
        <v>851</v>
      </c>
      <c r="M51" t="s">
        <v>852</v>
      </c>
    </row>
    <row r="52" spans="1:13" ht="15">
      <c r="A52" t="s">
        <v>1008</v>
      </c>
      <c r="B52" t="s">
        <v>1009</v>
      </c>
      <c r="C52" t="s">
        <v>1010</v>
      </c>
      <c r="D52" s="522">
        <v>313246968956</v>
      </c>
      <c r="E52" s="522">
        <v>317444482961</v>
      </c>
      <c r="F52" s="522">
        <v>4197514005</v>
      </c>
      <c r="G52" s="522">
        <v>0</v>
      </c>
      <c r="H52" t="s">
        <v>861</v>
      </c>
      <c r="I52" t="s">
        <v>848</v>
      </c>
      <c r="J52" t="s">
        <v>849</v>
      </c>
      <c r="K52" t="s">
        <v>850</v>
      </c>
      <c r="L52" t="s">
        <v>851</v>
      </c>
      <c r="M52" t="s">
        <v>852</v>
      </c>
    </row>
    <row r="53" spans="1:13" ht="15">
      <c r="A53" t="s">
        <v>1011</v>
      </c>
      <c r="B53" t="s">
        <v>1012</v>
      </c>
      <c r="C53" t="s">
        <v>1013</v>
      </c>
      <c r="D53" s="522">
        <v>54011527248</v>
      </c>
      <c r="E53" s="522">
        <v>54020278677</v>
      </c>
      <c r="F53" s="522">
        <v>8751429</v>
      </c>
      <c r="G53" s="522">
        <v>0</v>
      </c>
      <c r="H53" t="s">
        <v>275</v>
      </c>
      <c r="I53" t="s">
        <v>865</v>
      </c>
      <c r="J53" t="s">
        <v>849</v>
      </c>
      <c r="K53" t="s">
        <v>850</v>
      </c>
      <c r="L53" t="s">
        <v>851</v>
      </c>
      <c r="M53" t="s">
        <v>852</v>
      </c>
    </row>
    <row r="54" spans="1:13" ht="15">
      <c r="A54" t="s">
        <v>1014</v>
      </c>
      <c r="B54" t="s">
        <v>1015</v>
      </c>
      <c r="C54" t="s">
        <v>1016</v>
      </c>
      <c r="D54" s="522">
        <v>136694666319</v>
      </c>
      <c r="E54" s="522">
        <v>136722199990</v>
      </c>
      <c r="F54" s="522">
        <v>27533671</v>
      </c>
      <c r="G54" s="522">
        <v>0</v>
      </c>
      <c r="H54" t="s">
        <v>275</v>
      </c>
      <c r="I54" t="s">
        <v>848</v>
      </c>
      <c r="J54" t="s">
        <v>849</v>
      </c>
      <c r="K54" t="s">
        <v>850</v>
      </c>
      <c r="L54" t="s">
        <v>851</v>
      </c>
      <c r="M54" t="s">
        <v>852</v>
      </c>
    </row>
    <row r="55" spans="1:13" ht="15">
      <c r="A55" t="s">
        <v>1017</v>
      </c>
      <c r="B55" t="s">
        <v>1018</v>
      </c>
      <c r="C55" t="s">
        <v>1019</v>
      </c>
      <c r="D55" s="522">
        <v>0</v>
      </c>
      <c r="E55" s="522">
        <v>0</v>
      </c>
      <c r="F55" s="522">
        <v>0</v>
      </c>
      <c r="G55" s="522">
        <v>0</v>
      </c>
      <c r="H55" t="s">
        <v>275</v>
      </c>
      <c r="I55" t="s">
        <v>865</v>
      </c>
      <c r="J55" t="s">
        <v>849</v>
      </c>
      <c r="K55" t="s">
        <v>850</v>
      </c>
      <c r="L55" t="s">
        <v>851</v>
      </c>
      <c r="M55" t="s">
        <v>852</v>
      </c>
    </row>
    <row r="56" spans="1:13" ht="15">
      <c r="A56" t="s">
        <v>1020</v>
      </c>
      <c r="B56" t="s">
        <v>1021</v>
      </c>
      <c r="C56" t="s">
        <v>1022</v>
      </c>
      <c r="D56" s="522">
        <v>1955599236</v>
      </c>
      <c r="E56" s="522">
        <v>1955599236</v>
      </c>
      <c r="F56" s="522">
        <v>0</v>
      </c>
      <c r="G56" s="522">
        <v>0</v>
      </c>
      <c r="H56" t="s">
        <v>275</v>
      </c>
      <c r="I56" t="s">
        <v>865</v>
      </c>
      <c r="J56" t="s">
        <v>849</v>
      </c>
      <c r="K56" t="s">
        <v>850</v>
      </c>
      <c r="L56" t="s">
        <v>851</v>
      </c>
      <c r="M56" t="s">
        <v>852</v>
      </c>
    </row>
    <row r="57" spans="1:13" ht="15">
      <c r="A57" t="s">
        <v>1023</v>
      </c>
      <c r="B57" t="s">
        <v>1024</v>
      </c>
      <c r="C57" t="s">
        <v>1025</v>
      </c>
      <c r="D57" s="522">
        <v>99763314631</v>
      </c>
      <c r="E57" s="522">
        <v>99763314631</v>
      </c>
      <c r="F57" s="522">
        <v>0</v>
      </c>
      <c r="G57" s="522">
        <v>0</v>
      </c>
      <c r="H57" t="s">
        <v>275</v>
      </c>
      <c r="I57" t="s">
        <v>865</v>
      </c>
      <c r="J57" t="s">
        <v>849</v>
      </c>
      <c r="K57" t="s">
        <v>850</v>
      </c>
      <c r="L57" t="s">
        <v>851</v>
      </c>
      <c r="M57" t="s">
        <v>852</v>
      </c>
    </row>
    <row r="58" spans="1:13" ht="15">
      <c r="A58" t="s">
        <v>1026</v>
      </c>
      <c r="B58" t="s">
        <v>1027</v>
      </c>
      <c r="C58" t="s">
        <v>1028</v>
      </c>
      <c r="D58" s="522">
        <v>741260074</v>
      </c>
      <c r="E58" s="522">
        <v>774510074</v>
      </c>
      <c r="F58" s="522">
        <v>33250000</v>
      </c>
      <c r="G58" s="522">
        <v>0</v>
      </c>
      <c r="H58" t="s">
        <v>275</v>
      </c>
      <c r="I58" t="s">
        <v>865</v>
      </c>
      <c r="J58" t="s">
        <v>849</v>
      </c>
      <c r="K58" t="s">
        <v>850</v>
      </c>
      <c r="L58" t="s">
        <v>851</v>
      </c>
      <c r="M58" t="s">
        <v>852</v>
      </c>
    </row>
    <row r="59" spans="1:13" ht="15">
      <c r="A59" t="s">
        <v>1029</v>
      </c>
      <c r="B59" t="s">
        <v>1030</v>
      </c>
      <c r="C59" t="s">
        <v>1031</v>
      </c>
      <c r="D59" s="522">
        <v>19606621448</v>
      </c>
      <c r="E59" s="522">
        <v>19951866373</v>
      </c>
      <c r="F59" s="522">
        <v>345244925</v>
      </c>
      <c r="G59" s="522">
        <v>0</v>
      </c>
      <c r="H59" t="s">
        <v>275</v>
      </c>
      <c r="I59" t="s">
        <v>848</v>
      </c>
      <c r="J59" t="s">
        <v>849</v>
      </c>
      <c r="K59" t="s">
        <v>850</v>
      </c>
      <c r="L59" t="s">
        <v>851</v>
      </c>
      <c r="M59" t="s">
        <v>852</v>
      </c>
    </row>
    <row r="60" spans="1:13" ht="15">
      <c r="A60" t="s">
        <v>1032</v>
      </c>
      <c r="B60" t="s">
        <v>1033</v>
      </c>
      <c r="C60" t="s">
        <v>1034</v>
      </c>
      <c r="D60" s="522">
        <v>0</v>
      </c>
      <c r="E60" s="522">
        <v>0</v>
      </c>
      <c r="F60" s="522">
        <v>0</v>
      </c>
      <c r="G60" s="522">
        <v>0</v>
      </c>
      <c r="H60" t="s">
        <v>275</v>
      </c>
      <c r="I60" t="s">
        <v>865</v>
      </c>
      <c r="J60" t="s">
        <v>849</v>
      </c>
      <c r="K60" t="s">
        <v>850</v>
      </c>
      <c r="L60" t="s">
        <v>851</v>
      </c>
      <c r="M60" t="s">
        <v>852</v>
      </c>
    </row>
    <row r="61" spans="1:13" ht="15">
      <c r="A61" t="s">
        <v>1035</v>
      </c>
      <c r="B61" t="s">
        <v>1036</v>
      </c>
      <c r="C61" t="s">
        <v>1037</v>
      </c>
      <c r="D61" s="522">
        <v>0</v>
      </c>
      <c r="E61" s="522">
        <v>0</v>
      </c>
      <c r="F61" s="522">
        <v>0</v>
      </c>
      <c r="G61" s="522">
        <v>0</v>
      </c>
      <c r="H61" t="s">
        <v>275</v>
      </c>
      <c r="I61" t="s">
        <v>865</v>
      </c>
      <c r="J61" t="s">
        <v>849</v>
      </c>
      <c r="K61" t="s">
        <v>850</v>
      </c>
      <c r="L61" t="s">
        <v>851</v>
      </c>
      <c r="M61" t="s">
        <v>852</v>
      </c>
    </row>
    <row r="62" spans="1:13" ht="15">
      <c r="A62" t="s">
        <v>1038</v>
      </c>
      <c r="B62" t="s">
        <v>1039</v>
      </c>
      <c r="C62" t="s">
        <v>1040</v>
      </c>
      <c r="D62" s="522">
        <v>473980000</v>
      </c>
      <c r="E62" s="522">
        <v>4256713980</v>
      </c>
      <c r="F62" s="522">
        <v>3782733980</v>
      </c>
      <c r="G62" s="522">
        <v>0</v>
      </c>
      <c r="H62" t="s">
        <v>275</v>
      </c>
      <c r="I62" t="s">
        <v>865</v>
      </c>
      <c r="J62" t="s">
        <v>849</v>
      </c>
      <c r="K62" t="s">
        <v>850</v>
      </c>
      <c r="L62" t="s">
        <v>851</v>
      </c>
      <c r="M62" t="s">
        <v>852</v>
      </c>
    </row>
    <row r="63" spans="1:13" ht="15">
      <c r="A63" t="s">
        <v>1041</v>
      </c>
      <c r="B63" t="s">
        <v>1042</v>
      </c>
      <c r="C63" t="s">
        <v>1043</v>
      </c>
      <c r="D63" s="522">
        <v>748348648</v>
      </c>
      <c r="E63" s="522">
        <v>841042084</v>
      </c>
      <c r="F63" s="522">
        <v>92693436</v>
      </c>
      <c r="G63" s="522">
        <v>0</v>
      </c>
      <c r="H63" t="s">
        <v>861</v>
      </c>
      <c r="I63" t="s">
        <v>848</v>
      </c>
      <c r="J63" t="s">
        <v>849</v>
      </c>
      <c r="K63" t="s">
        <v>850</v>
      </c>
      <c r="L63" t="s">
        <v>851</v>
      </c>
      <c r="M63" t="s">
        <v>852</v>
      </c>
    </row>
    <row r="64" spans="1:13" ht="15">
      <c r="A64" t="s">
        <v>1044</v>
      </c>
      <c r="B64" t="s">
        <v>1045</v>
      </c>
      <c r="C64" t="s">
        <v>1046</v>
      </c>
      <c r="D64" s="522">
        <v>0</v>
      </c>
      <c r="E64" s="522">
        <v>0</v>
      </c>
      <c r="F64" s="522">
        <v>0</v>
      </c>
      <c r="G64" s="522">
        <v>0</v>
      </c>
      <c r="H64" t="s">
        <v>861</v>
      </c>
      <c r="I64" t="s">
        <v>848</v>
      </c>
      <c r="J64" t="s">
        <v>849</v>
      </c>
      <c r="K64" t="s">
        <v>850</v>
      </c>
      <c r="L64" t="s">
        <v>851</v>
      </c>
      <c r="M64" t="s">
        <v>852</v>
      </c>
    </row>
    <row r="65" spans="1:13" ht="15">
      <c r="A65" t="s">
        <v>1047</v>
      </c>
      <c r="B65" t="s">
        <v>1048</v>
      </c>
      <c r="C65" t="s">
        <v>1049</v>
      </c>
      <c r="D65" s="522">
        <v>0</v>
      </c>
      <c r="E65" s="522">
        <v>0</v>
      </c>
      <c r="F65" s="522">
        <v>0</v>
      </c>
      <c r="G65" s="522">
        <v>0</v>
      </c>
      <c r="H65" t="s">
        <v>275</v>
      </c>
      <c r="I65" t="s">
        <v>865</v>
      </c>
      <c r="J65" t="s">
        <v>849</v>
      </c>
      <c r="K65" t="s">
        <v>850</v>
      </c>
      <c r="L65" t="s">
        <v>851</v>
      </c>
      <c r="M65" t="s">
        <v>852</v>
      </c>
    </row>
    <row r="66" spans="1:13" ht="15">
      <c r="A66" t="s">
        <v>1050</v>
      </c>
      <c r="B66" t="s">
        <v>1051</v>
      </c>
      <c r="C66" t="s">
        <v>1052</v>
      </c>
      <c r="D66" s="522">
        <v>0</v>
      </c>
      <c r="E66" s="522">
        <v>0</v>
      </c>
      <c r="F66" s="522">
        <v>0</v>
      </c>
      <c r="G66" s="522">
        <v>0</v>
      </c>
      <c r="H66" t="s">
        <v>857</v>
      </c>
      <c r="I66" t="s">
        <v>848</v>
      </c>
      <c r="J66" t="s">
        <v>849</v>
      </c>
      <c r="K66" t="s">
        <v>850</v>
      </c>
      <c r="L66" t="s">
        <v>851</v>
      </c>
      <c r="M66" t="s">
        <v>852</v>
      </c>
    </row>
    <row r="67" spans="1:13" ht="15">
      <c r="A67" t="s">
        <v>1053</v>
      </c>
      <c r="B67" t="s">
        <v>1054</v>
      </c>
      <c r="C67" t="s">
        <v>1055</v>
      </c>
      <c r="D67" s="522">
        <v>0</v>
      </c>
      <c r="E67" s="522">
        <v>211227737779</v>
      </c>
      <c r="F67" s="522">
        <v>763940653977</v>
      </c>
      <c r="G67" s="522">
        <v>552712916198</v>
      </c>
      <c r="H67" t="s">
        <v>5</v>
      </c>
      <c r="I67" t="s">
        <v>848</v>
      </c>
      <c r="J67" t="s">
        <v>872</v>
      </c>
      <c r="K67" t="s">
        <v>850</v>
      </c>
      <c r="L67" t="s">
        <v>851</v>
      </c>
      <c r="M67" t="s">
        <v>852</v>
      </c>
    </row>
    <row r="68" spans="1:13" ht="15">
      <c r="A68" t="s">
        <v>1056</v>
      </c>
      <c r="B68" t="s">
        <v>1057</v>
      </c>
      <c r="C68" t="s">
        <v>1058</v>
      </c>
      <c r="D68" s="522">
        <v>0</v>
      </c>
      <c r="E68" s="522">
        <v>182522545552</v>
      </c>
      <c r="F68" s="522">
        <v>220940930278</v>
      </c>
      <c r="G68" s="522">
        <v>38418384726</v>
      </c>
      <c r="H68" t="s">
        <v>857</v>
      </c>
      <c r="I68" t="s">
        <v>848</v>
      </c>
      <c r="J68" t="s">
        <v>872</v>
      </c>
      <c r="K68" t="s">
        <v>850</v>
      </c>
      <c r="L68" t="s">
        <v>851</v>
      </c>
      <c r="M68" t="s">
        <v>852</v>
      </c>
    </row>
    <row r="69" spans="1:13" ht="15">
      <c r="A69" t="s">
        <v>1059</v>
      </c>
      <c r="B69" t="s">
        <v>1060</v>
      </c>
      <c r="C69" t="s">
        <v>1061</v>
      </c>
      <c r="D69" s="522">
        <v>0</v>
      </c>
      <c r="E69" s="522">
        <v>65837270540</v>
      </c>
      <c r="F69" s="522">
        <v>76045160633</v>
      </c>
      <c r="G69" s="522">
        <v>10207890093</v>
      </c>
      <c r="H69" t="s">
        <v>275</v>
      </c>
      <c r="I69" t="s">
        <v>865</v>
      </c>
      <c r="J69" t="s">
        <v>872</v>
      </c>
      <c r="K69" t="s">
        <v>850</v>
      </c>
      <c r="L69" t="s">
        <v>851</v>
      </c>
      <c r="M69" t="s">
        <v>852</v>
      </c>
    </row>
    <row r="70" spans="1:13" ht="15">
      <c r="A70" t="s">
        <v>1062</v>
      </c>
      <c r="B70" t="s">
        <v>1063</v>
      </c>
      <c r="C70" t="s">
        <v>1064</v>
      </c>
      <c r="D70" s="522">
        <v>0</v>
      </c>
      <c r="E70" s="522">
        <v>60643590683</v>
      </c>
      <c r="F70" s="522">
        <v>79011065183</v>
      </c>
      <c r="G70" s="522">
        <v>18367474500</v>
      </c>
      <c r="H70" t="s">
        <v>275</v>
      </c>
      <c r="I70" t="s">
        <v>865</v>
      </c>
      <c r="J70" t="s">
        <v>872</v>
      </c>
      <c r="K70" t="s">
        <v>850</v>
      </c>
      <c r="L70" t="s">
        <v>851</v>
      </c>
      <c r="M70" t="s">
        <v>852</v>
      </c>
    </row>
    <row r="71" spans="1:17" ht="15">
      <c r="A71" t="s">
        <v>1065</v>
      </c>
      <c r="B71" t="s">
        <v>1066</v>
      </c>
      <c r="C71" t="s">
        <v>1067</v>
      </c>
      <c r="D71" s="522">
        <v>0</v>
      </c>
      <c r="E71" s="522">
        <v>23560309477</v>
      </c>
      <c r="F71" s="522">
        <v>25176558940</v>
      </c>
      <c r="G71" s="522">
        <v>1616249463</v>
      </c>
      <c r="H71" t="s">
        <v>275</v>
      </c>
      <c r="I71" t="s">
        <v>865</v>
      </c>
      <c r="J71" t="s">
        <v>872</v>
      </c>
      <c r="K71" t="s">
        <v>850</v>
      </c>
      <c r="L71" t="s">
        <v>851</v>
      </c>
      <c r="M71" t="s">
        <v>852</v>
      </c>
      <c r="N71" s="520"/>
      <c r="O71" s="520"/>
      <c r="P71" s="520"/>
      <c r="Q71" s="520"/>
    </row>
    <row r="72" spans="1:17" ht="15">
      <c r="A72" t="s">
        <v>1068</v>
      </c>
      <c r="B72" t="s">
        <v>1069</v>
      </c>
      <c r="C72" t="s">
        <v>1070</v>
      </c>
      <c r="D72" s="522">
        <v>0</v>
      </c>
      <c r="E72" s="522">
        <v>0</v>
      </c>
      <c r="F72" s="522">
        <v>0</v>
      </c>
      <c r="G72" s="522">
        <v>0</v>
      </c>
      <c r="H72" t="s">
        <v>275</v>
      </c>
      <c r="I72" t="s">
        <v>865</v>
      </c>
      <c r="J72" t="s">
        <v>872</v>
      </c>
      <c r="K72" t="s">
        <v>850</v>
      </c>
      <c r="L72" t="s">
        <v>851</v>
      </c>
      <c r="M72" t="s">
        <v>852</v>
      </c>
      <c r="N72" s="520"/>
      <c r="O72" s="520"/>
      <c r="P72" s="520"/>
      <c r="Q72" s="520"/>
    </row>
    <row r="73" spans="1:17" ht="15">
      <c r="A73" t="s">
        <v>1071</v>
      </c>
      <c r="B73" t="s">
        <v>1072</v>
      </c>
      <c r="C73" t="s">
        <v>1073</v>
      </c>
      <c r="D73" s="522">
        <v>0</v>
      </c>
      <c r="E73" s="522">
        <v>14774072813</v>
      </c>
      <c r="F73" s="522">
        <v>18362131089</v>
      </c>
      <c r="G73" s="522">
        <v>3588058276</v>
      </c>
      <c r="H73" t="s">
        <v>275</v>
      </c>
      <c r="I73" t="s">
        <v>848</v>
      </c>
      <c r="J73" t="s">
        <v>872</v>
      </c>
      <c r="K73" t="s">
        <v>850</v>
      </c>
      <c r="L73" t="s">
        <v>851</v>
      </c>
      <c r="M73" t="s">
        <v>852</v>
      </c>
      <c r="N73" s="520">
        <v>417263886</v>
      </c>
      <c r="O73" s="520">
        <v>14773573083</v>
      </c>
      <c r="P73" s="520">
        <v>14831367473</v>
      </c>
      <c r="Q73" s="520">
        <v>475058276</v>
      </c>
    </row>
    <row r="74" spans="1:17" ht="15">
      <c r="A74" t="s">
        <v>1074</v>
      </c>
      <c r="B74" t="s">
        <v>1075</v>
      </c>
      <c r="C74" t="s">
        <v>1076</v>
      </c>
      <c r="D74" s="522">
        <v>0</v>
      </c>
      <c r="E74" s="522">
        <v>16170264618</v>
      </c>
      <c r="F74" s="522">
        <v>16933928573</v>
      </c>
      <c r="G74" s="522">
        <v>763663955</v>
      </c>
      <c r="H74" t="s">
        <v>275</v>
      </c>
      <c r="I74" t="s">
        <v>848</v>
      </c>
      <c r="J74" t="s">
        <v>872</v>
      </c>
      <c r="K74" t="s">
        <v>850</v>
      </c>
      <c r="L74" t="s">
        <v>851</v>
      </c>
      <c r="M74" t="s">
        <v>852</v>
      </c>
      <c r="N74" s="520">
        <v>3113000000</v>
      </c>
      <c r="O74" s="520"/>
      <c r="P74" s="520"/>
      <c r="Q74" s="520">
        <v>3113000000</v>
      </c>
    </row>
    <row r="75" spans="1:17" ht="15">
      <c r="A75" t="s">
        <v>1077</v>
      </c>
      <c r="B75" t="s">
        <v>1078</v>
      </c>
      <c r="C75" t="s">
        <v>1079</v>
      </c>
      <c r="D75" s="522">
        <v>0</v>
      </c>
      <c r="E75" s="522">
        <v>929451256</v>
      </c>
      <c r="F75" s="522">
        <v>1850353496</v>
      </c>
      <c r="G75" s="522">
        <v>920902240</v>
      </c>
      <c r="H75" t="s">
        <v>275</v>
      </c>
      <c r="I75" t="s">
        <v>865</v>
      </c>
      <c r="J75" t="s">
        <v>872</v>
      </c>
      <c r="K75" t="s">
        <v>850</v>
      </c>
      <c r="L75" t="s">
        <v>851</v>
      </c>
      <c r="M75" t="s">
        <v>852</v>
      </c>
      <c r="N75" s="520">
        <v>499730</v>
      </c>
      <c r="O75" s="520">
        <v>499730</v>
      </c>
      <c r="P75" s="520"/>
      <c r="Q75" s="520">
        <v>0</v>
      </c>
    </row>
    <row r="76" spans="1:17" ht="15">
      <c r="A76" t="s">
        <v>1080</v>
      </c>
      <c r="B76" t="s">
        <v>1081</v>
      </c>
      <c r="C76" t="s">
        <v>1082</v>
      </c>
      <c r="D76" s="522">
        <v>0</v>
      </c>
      <c r="E76" s="522">
        <v>0</v>
      </c>
      <c r="F76" s="522">
        <v>0</v>
      </c>
      <c r="G76" s="522">
        <v>0</v>
      </c>
      <c r="H76" t="s">
        <v>275</v>
      </c>
      <c r="I76" t="s">
        <v>865</v>
      </c>
      <c r="J76" t="s">
        <v>872</v>
      </c>
      <c r="K76" t="s">
        <v>850</v>
      </c>
      <c r="L76" t="s">
        <v>851</v>
      </c>
      <c r="M76" t="s">
        <v>852</v>
      </c>
      <c r="N76" s="520">
        <f>SUM(N73:N75)</f>
        <v>3530763616</v>
      </c>
      <c r="O76" s="520">
        <f>SUM(O73:O75)</f>
        <v>14774072813</v>
      </c>
      <c r="P76" s="520">
        <f>SUM(P73:P75)</f>
        <v>14831367473</v>
      </c>
      <c r="Q76" s="520">
        <f>SUM(Q73:Q75)</f>
        <v>3588058276</v>
      </c>
    </row>
    <row r="77" spans="1:13" ht="15">
      <c r="A77" t="s">
        <v>1083</v>
      </c>
      <c r="B77" t="s">
        <v>1084</v>
      </c>
      <c r="C77" t="s">
        <v>1085</v>
      </c>
      <c r="D77" s="522">
        <v>0</v>
      </c>
      <c r="E77" s="522">
        <v>0</v>
      </c>
      <c r="F77" s="522">
        <v>0</v>
      </c>
      <c r="G77" s="522">
        <v>0</v>
      </c>
      <c r="H77" t="s">
        <v>275</v>
      </c>
      <c r="I77" t="s">
        <v>865</v>
      </c>
      <c r="J77" t="s">
        <v>872</v>
      </c>
      <c r="K77" t="s">
        <v>850</v>
      </c>
      <c r="L77" t="s">
        <v>851</v>
      </c>
      <c r="M77" t="s">
        <v>852</v>
      </c>
    </row>
    <row r="78" spans="1:13" ht="15">
      <c r="A78" t="s">
        <v>1086</v>
      </c>
      <c r="B78" t="s">
        <v>1087</v>
      </c>
      <c r="C78" t="s">
        <v>1088</v>
      </c>
      <c r="D78" s="522">
        <v>0</v>
      </c>
      <c r="E78" s="522">
        <v>0</v>
      </c>
      <c r="F78" s="522">
        <v>294634789</v>
      </c>
      <c r="G78" s="522">
        <v>294634789</v>
      </c>
      <c r="H78" t="s">
        <v>275</v>
      </c>
      <c r="I78" t="s">
        <v>848</v>
      </c>
      <c r="J78" t="s">
        <v>872</v>
      </c>
      <c r="K78" t="s">
        <v>850</v>
      </c>
      <c r="L78" t="s">
        <v>851</v>
      </c>
      <c r="M78" t="s">
        <v>852</v>
      </c>
    </row>
    <row r="79" spans="1:13" ht="15">
      <c r="A79" t="s">
        <v>1089</v>
      </c>
      <c r="B79" t="s">
        <v>1090</v>
      </c>
      <c r="C79" t="s">
        <v>1091</v>
      </c>
      <c r="D79" s="522">
        <v>0</v>
      </c>
      <c r="E79" s="522">
        <v>0</v>
      </c>
      <c r="F79" s="522">
        <v>0</v>
      </c>
      <c r="G79" s="522">
        <v>0</v>
      </c>
      <c r="H79" t="s">
        <v>275</v>
      </c>
      <c r="I79" t="s">
        <v>865</v>
      </c>
      <c r="J79" t="s">
        <v>872</v>
      </c>
      <c r="K79" t="s">
        <v>850</v>
      </c>
      <c r="L79" t="s">
        <v>851</v>
      </c>
      <c r="M79" t="s">
        <v>852</v>
      </c>
    </row>
    <row r="80" spans="1:13" ht="15">
      <c r="A80" t="s">
        <v>1092</v>
      </c>
      <c r="B80" t="s">
        <v>1093</v>
      </c>
      <c r="C80" t="s">
        <v>1094</v>
      </c>
      <c r="D80" s="522">
        <v>0</v>
      </c>
      <c r="E80" s="522">
        <v>0</v>
      </c>
      <c r="F80" s="522">
        <v>0</v>
      </c>
      <c r="G80" s="522">
        <v>0</v>
      </c>
      <c r="H80" t="s">
        <v>275</v>
      </c>
      <c r="I80" t="s">
        <v>865</v>
      </c>
      <c r="J80" t="s">
        <v>872</v>
      </c>
      <c r="K80" t="s">
        <v>850</v>
      </c>
      <c r="L80" t="s">
        <v>851</v>
      </c>
      <c r="M80" t="s">
        <v>852</v>
      </c>
    </row>
    <row r="81" spans="1:13" ht="15">
      <c r="A81" t="s">
        <v>1095</v>
      </c>
      <c r="B81" t="s">
        <v>1096</v>
      </c>
      <c r="C81" t="s">
        <v>1097</v>
      </c>
      <c r="D81" s="522">
        <v>0</v>
      </c>
      <c r="E81" s="522">
        <v>0</v>
      </c>
      <c r="F81" s="522">
        <v>0</v>
      </c>
      <c r="G81" s="522">
        <v>0</v>
      </c>
      <c r="H81" t="s">
        <v>275</v>
      </c>
      <c r="I81" t="s">
        <v>865</v>
      </c>
      <c r="J81" t="s">
        <v>872</v>
      </c>
      <c r="K81" t="s">
        <v>850</v>
      </c>
      <c r="L81" t="s">
        <v>851</v>
      </c>
      <c r="M81" t="s">
        <v>852</v>
      </c>
    </row>
    <row r="82" spans="1:13" ht="15">
      <c r="A82" t="s">
        <v>1098</v>
      </c>
      <c r="B82" t="s">
        <v>1099</v>
      </c>
      <c r="C82" t="s">
        <v>1100</v>
      </c>
      <c r="D82" s="522">
        <v>0</v>
      </c>
      <c r="E82" s="522">
        <v>607586165</v>
      </c>
      <c r="F82" s="522">
        <v>3267097575</v>
      </c>
      <c r="G82" s="522">
        <v>2659511410</v>
      </c>
      <c r="H82" t="s">
        <v>275</v>
      </c>
      <c r="I82" t="s">
        <v>848</v>
      </c>
      <c r="J82" t="s">
        <v>872</v>
      </c>
      <c r="K82" t="s">
        <v>850</v>
      </c>
      <c r="L82" t="s">
        <v>851</v>
      </c>
      <c r="M82" t="s">
        <v>852</v>
      </c>
    </row>
    <row r="83" spans="1:13" ht="15">
      <c r="A83" t="s">
        <v>1101</v>
      </c>
      <c r="B83" t="s">
        <v>1102</v>
      </c>
      <c r="C83" t="s">
        <v>1103</v>
      </c>
      <c r="D83" s="522">
        <v>0</v>
      </c>
      <c r="E83" s="522">
        <v>85374000</v>
      </c>
      <c r="F83" s="522">
        <v>2341385334</v>
      </c>
      <c r="G83" s="522">
        <v>2256011334</v>
      </c>
      <c r="H83"/>
      <c r="I83" t="s">
        <v>865</v>
      </c>
      <c r="J83" t="s">
        <v>872</v>
      </c>
      <c r="K83" t="s">
        <v>850</v>
      </c>
      <c r="L83" t="s">
        <v>851</v>
      </c>
      <c r="M83" t="s">
        <v>852</v>
      </c>
    </row>
    <row r="84" spans="1:13" ht="15">
      <c r="A84" t="s">
        <v>1104</v>
      </c>
      <c r="B84" t="s">
        <v>1105</v>
      </c>
      <c r="C84" t="s">
        <v>1106</v>
      </c>
      <c r="D84" s="522">
        <v>0</v>
      </c>
      <c r="E84" s="522">
        <v>0</v>
      </c>
      <c r="F84" s="522">
        <v>0</v>
      </c>
      <c r="G84" s="522">
        <v>0</v>
      </c>
      <c r="H84"/>
      <c r="I84" t="s">
        <v>865</v>
      </c>
      <c r="J84" t="s">
        <v>872</v>
      </c>
      <c r="K84" t="s">
        <v>850</v>
      </c>
      <c r="L84" t="s">
        <v>851</v>
      </c>
      <c r="M84" t="s">
        <v>852</v>
      </c>
    </row>
    <row r="85" spans="1:13" ht="15">
      <c r="A85" t="s">
        <v>1107</v>
      </c>
      <c r="B85" t="s">
        <v>1108</v>
      </c>
      <c r="C85" t="s">
        <v>1109</v>
      </c>
      <c r="D85" s="522">
        <v>0</v>
      </c>
      <c r="E85" s="522">
        <v>0</v>
      </c>
      <c r="F85" s="522">
        <v>0</v>
      </c>
      <c r="G85" s="522">
        <v>0</v>
      </c>
      <c r="H85"/>
      <c r="I85" t="s">
        <v>865</v>
      </c>
      <c r="J85" t="s">
        <v>872</v>
      </c>
      <c r="K85" t="s">
        <v>850</v>
      </c>
      <c r="L85" t="s">
        <v>851</v>
      </c>
      <c r="M85" t="s">
        <v>852</v>
      </c>
    </row>
    <row r="86" spans="1:13" ht="15">
      <c r="A86" t="s">
        <v>1110</v>
      </c>
      <c r="B86" t="s">
        <v>1111</v>
      </c>
      <c r="C86" t="s">
        <v>1112</v>
      </c>
      <c r="D86" s="522">
        <v>0</v>
      </c>
      <c r="E86" s="522">
        <v>507878686</v>
      </c>
      <c r="F86" s="522">
        <v>898565492</v>
      </c>
      <c r="G86" s="522">
        <v>390686806</v>
      </c>
      <c r="H86"/>
      <c r="I86" t="s">
        <v>865</v>
      </c>
      <c r="J86" t="s">
        <v>872</v>
      </c>
      <c r="K86" t="s">
        <v>850</v>
      </c>
      <c r="L86" t="s">
        <v>851</v>
      </c>
      <c r="M86" t="s">
        <v>852</v>
      </c>
    </row>
    <row r="87" spans="1:13" ht="15">
      <c r="A87" t="s">
        <v>1113</v>
      </c>
      <c r="B87" t="s">
        <v>1114</v>
      </c>
      <c r="C87" t="s">
        <v>1115</v>
      </c>
      <c r="D87" s="522">
        <v>0</v>
      </c>
      <c r="E87" s="522">
        <v>0</v>
      </c>
      <c r="F87" s="522">
        <v>0</v>
      </c>
      <c r="G87" s="522">
        <v>0</v>
      </c>
      <c r="H87"/>
      <c r="I87" t="s">
        <v>865</v>
      </c>
      <c r="J87" t="s">
        <v>872</v>
      </c>
      <c r="K87" t="s">
        <v>850</v>
      </c>
      <c r="L87" t="s">
        <v>851</v>
      </c>
      <c r="M87" t="s">
        <v>852</v>
      </c>
    </row>
    <row r="88" spans="1:13" ht="15">
      <c r="A88" t="s">
        <v>1116</v>
      </c>
      <c r="B88" t="s">
        <v>1117</v>
      </c>
      <c r="C88" t="s">
        <v>766</v>
      </c>
      <c r="D88" s="522">
        <v>0</v>
      </c>
      <c r="E88" s="522">
        <v>14333479</v>
      </c>
      <c r="F88" s="522">
        <v>27146749</v>
      </c>
      <c r="G88" s="522">
        <v>12813270</v>
      </c>
      <c r="H88"/>
      <c r="I88" t="s">
        <v>865</v>
      </c>
      <c r="J88" t="s">
        <v>872</v>
      </c>
      <c r="K88" t="s">
        <v>850</v>
      </c>
      <c r="L88" t="s">
        <v>851</v>
      </c>
      <c r="M88" t="s">
        <v>852</v>
      </c>
    </row>
    <row r="89" spans="1:13" ht="15">
      <c r="A89" t="s">
        <v>1118</v>
      </c>
      <c r="B89" t="s">
        <v>1119</v>
      </c>
      <c r="C89" t="s">
        <v>1120</v>
      </c>
      <c r="D89" s="522">
        <v>0</v>
      </c>
      <c r="E89" s="522">
        <v>0</v>
      </c>
      <c r="F89" s="522">
        <v>0</v>
      </c>
      <c r="G89" s="522">
        <v>0</v>
      </c>
      <c r="H89"/>
      <c r="I89" t="s">
        <v>865</v>
      </c>
      <c r="J89" t="s">
        <v>872</v>
      </c>
      <c r="K89" t="s">
        <v>850</v>
      </c>
      <c r="L89" t="s">
        <v>851</v>
      </c>
      <c r="M89" t="s">
        <v>852</v>
      </c>
    </row>
    <row r="90" spans="1:13" ht="15">
      <c r="A90" t="s">
        <v>1121</v>
      </c>
      <c r="B90" t="s">
        <v>1122</v>
      </c>
      <c r="C90" t="s">
        <v>1123</v>
      </c>
      <c r="D90" s="522">
        <v>0</v>
      </c>
      <c r="E90" s="522">
        <v>3138820736</v>
      </c>
      <c r="F90" s="522">
        <v>224147819119</v>
      </c>
      <c r="G90" s="522">
        <v>221008998383</v>
      </c>
      <c r="H90" t="s">
        <v>857</v>
      </c>
      <c r="I90" t="s">
        <v>848</v>
      </c>
      <c r="J90" t="s">
        <v>872</v>
      </c>
      <c r="K90" t="s">
        <v>850</v>
      </c>
      <c r="L90" t="s">
        <v>851</v>
      </c>
      <c r="M90" t="s">
        <v>852</v>
      </c>
    </row>
    <row r="91" spans="1:13" ht="15">
      <c r="A91" t="s">
        <v>1124</v>
      </c>
      <c r="B91" t="s">
        <v>1125</v>
      </c>
      <c r="C91" t="s">
        <v>1126</v>
      </c>
      <c r="D91" s="522">
        <v>0</v>
      </c>
      <c r="E91" s="522">
        <v>0</v>
      </c>
      <c r="F91" s="522">
        <v>0</v>
      </c>
      <c r="G91" s="522">
        <v>0</v>
      </c>
      <c r="H91" t="s">
        <v>275</v>
      </c>
      <c r="I91" t="s">
        <v>865</v>
      </c>
      <c r="J91" t="s">
        <v>872</v>
      </c>
      <c r="K91" t="s">
        <v>850</v>
      </c>
      <c r="L91" t="s">
        <v>851</v>
      </c>
      <c r="M91" t="s">
        <v>852</v>
      </c>
    </row>
    <row r="92" spans="1:13" ht="15">
      <c r="A92" t="s">
        <v>1127</v>
      </c>
      <c r="B92" t="s">
        <v>1128</v>
      </c>
      <c r="C92" t="s">
        <v>1129</v>
      </c>
      <c r="D92" s="522">
        <v>0</v>
      </c>
      <c r="E92" s="522">
        <v>0</v>
      </c>
      <c r="F92" s="522">
        <v>0</v>
      </c>
      <c r="G92" s="522">
        <v>0</v>
      </c>
      <c r="H92" t="s">
        <v>275</v>
      </c>
      <c r="I92" t="s">
        <v>865</v>
      </c>
      <c r="J92" t="s">
        <v>872</v>
      </c>
      <c r="K92" t="s">
        <v>850</v>
      </c>
      <c r="L92" t="s">
        <v>851</v>
      </c>
      <c r="M92" t="s">
        <v>852</v>
      </c>
    </row>
    <row r="93" spans="1:13" ht="15">
      <c r="A93" t="s">
        <v>1130</v>
      </c>
      <c r="B93" t="s">
        <v>1131</v>
      </c>
      <c r="C93" t="s">
        <v>1132</v>
      </c>
      <c r="D93" s="522">
        <v>0</v>
      </c>
      <c r="E93" s="522">
        <v>0</v>
      </c>
      <c r="F93" s="522">
        <v>0</v>
      </c>
      <c r="G93" s="522">
        <v>0</v>
      </c>
      <c r="H93" t="s">
        <v>275</v>
      </c>
      <c r="I93" t="s">
        <v>865</v>
      </c>
      <c r="J93" t="s">
        <v>872</v>
      </c>
      <c r="K93" t="s">
        <v>850</v>
      </c>
      <c r="L93" t="s">
        <v>851</v>
      </c>
      <c r="M93" t="s">
        <v>852</v>
      </c>
    </row>
    <row r="94" spans="1:13" ht="15">
      <c r="A94" t="s">
        <v>1133</v>
      </c>
      <c r="B94" t="s">
        <v>1134</v>
      </c>
      <c r="C94" t="s">
        <v>1135</v>
      </c>
      <c r="D94" s="522">
        <v>0</v>
      </c>
      <c r="E94" s="522">
        <v>3138820736</v>
      </c>
      <c r="F94" s="522">
        <v>224147819119</v>
      </c>
      <c r="G94" s="522">
        <v>221008998383</v>
      </c>
      <c r="H94" t="s">
        <v>861</v>
      </c>
      <c r="I94" t="s">
        <v>848</v>
      </c>
      <c r="J94" t="s">
        <v>872</v>
      </c>
      <c r="K94" t="s">
        <v>850</v>
      </c>
      <c r="L94" t="s">
        <v>851</v>
      </c>
      <c r="M94" t="s">
        <v>852</v>
      </c>
    </row>
    <row r="95" spans="1:13" ht="15">
      <c r="A95" t="s">
        <v>1136</v>
      </c>
      <c r="B95" t="s">
        <v>1137</v>
      </c>
      <c r="C95" t="s">
        <v>1138</v>
      </c>
      <c r="D95" s="522">
        <v>0</v>
      </c>
      <c r="E95" s="522">
        <v>281601877</v>
      </c>
      <c r="F95" s="522">
        <v>145582807034</v>
      </c>
      <c r="G95" s="522">
        <v>145301205157</v>
      </c>
      <c r="H95" t="s">
        <v>275</v>
      </c>
      <c r="I95" t="s">
        <v>848</v>
      </c>
      <c r="J95" t="s">
        <v>872</v>
      </c>
      <c r="K95" t="s">
        <v>850</v>
      </c>
      <c r="L95" t="s">
        <v>851</v>
      </c>
      <c r="M95" t="s">
        <v>852</v>
      </c>
    </row>
    <row r="96" spans="1:13" ht="15">
      <c r="A96" t="s">
        <v>1139</v>
      </c>
      <c r="B96" t="s">
        <v>1140</v>
      </c>
      <c r="C96" t="s">
        <v>1141</v>
      </c>
      <c r="D96" s="522">
        <v>0</v>
      </c>
      <c r="E96" s="522">
        <v>617555580</v>
      </c>
      <c r="F96" s="522">
        <v>961277729</v>
      </c>
      <c r="G96" s="522">
        <v>343722149</v>
      </c>
      <c r="H96" t="s">
        <v>275</v>
      </c>
      <c r="I96" t="s">
        <v>865</v>
      </c>
      <c r="J96" t="s">
        <v>872</v>
      </c>
      <c r="K96" t="s">
        <v>850</v>
      </c>
      <c r="L96" t="s">
        <v>851</v>
      </c>
      <c r="M96" t="s">
        <v>852</v>
      </c>
    </row>
    <row r="97" spans="1:13" ht="15">
      <c r="A97" t="s">
        <v>1142</v>
      </c>
      <c r="B97" t="s">
        <v>1143</v>
      </c>
      <c r="C97" t="s">
        <v>1144</v>
      </c>
      <c r="D97" s="522">
        <v>0</v>
      </c>
      <c r="E97" s="522">
        <v>0</v>
      </c>
      <c r="F97" s="522">
        <v>24042651</v>
      </c>
      <c r="G97" s="522">
        <v>24042651</v>
      </c>
      <c r="H97" t="s">
        <v>275</v>
      </c>
      <c r="I97" t="s">
        <v>865</v>
      </c>
      <c r="J97" t="s">
        <v>872</v>
      </c>
      <c r="K97" t="s">
        <v>850</v>
      </c>
      <c r="L97" t="s">
        <v>851</v>
      </c>
      <c r="M97" t="s">
        <v>852</v>
      </c>
    </row>
    <row r="98" spans="1:13" ht="15">
      <c r="A98" t="s">
        <v>1145</v>
      </c>
      <c r="B98" t="s">
        <v>1146</v>
      </c>
      <c r="C98" t="s">
        <v>1147</v>
      </c>
      <c r="D98" s="522">
        <v>0</v>
      </c>
      <c r="E98" s="522">
        <v>0</v>
      </c>
      <c r="F98" s="522">
        <v>3322728447</v>
      </c>
      <c r="G98" s="522">
        <v>3322728447</v>
      </c>
      <c r="H98" t="s">
        <v>275</v>
      </c>
      <c r="I98" t="s">
        <v>865</v>
      </c>
      <c r="J98" t="s">
        <v>872</v>
      </c>
      <c r="K98" t="s">
        <v>850</v>
      </c>
      <c r="L98" t="s">
        <v>851</v>
      </c>
      <c r="M98" t="s">
        <v>852</v>
      </c>
    </row>
    <row r="99" spans="1:14" ht="15">
      <c r="A99" t="s">
        <v>1148</v>
      </c>
      <c r="B99" t="s">
        <v>1149</v>
      </c>
      <c r="C99" t="s">
        <v>1150</v>
      </c>
      <c r="D99" s="522">
        <v>0</v>
      </c>
      <c r="E99" s="522">
        <v>2239663279</v>
      </c>
      <c r="F99" s="522">
        <v>74256963258</v>
      </c>
      <c r="G99" s="522">
        <v>72017299979</v>
      </c>
      <c r="H99" t="s">
        <v>275</v>
      </c>
      <c r="I99" t="s">
        <v>865</v>
      </c>
      <c r="J99" t="s">
        <v>872</v>
      </c>
      <c r="K99" t="s">
        <v>850</v>
      </c>
      <c r="L99" t="s">
        <v>851</v>
      </c>
      <c r="M99" t="s">
        <v>852</v>
      </c>
      <c r="N99" s="523">
        <f>+F99-G99</f>
        <v>2239663279</v>
      </c>
    </row>
    <row r="100" spans="1:13" ht="15">
      <c r="A100" t="s">
        <v>1151</v>
      </c>
      <c r="B100" t="s">
        <v>1152</v>
      </c>
      <c r="C100" t="s">
        <v>1153</v>
      </c>
      <c r="D100" s="522">
        <v>0</v>
      </c>
      <c r="E100" s="522">
        <v>25566371491</v>
      </c>
      <c r="F100" s="522">
        <v>318851904580</v>
      </c>
      <c r="G100" s="522">
        <v>293285533089</v>
      </c>
      <c r="H100" t="s">
        <v>857</v>
      </c>
      <c r="I100" t="s">
        <v>848</v>
      </c>
      <c r="J100" t="s">
        <v>872</v>
      </c>
      <c r="K100" t="s">
        <v>850</v>
      </c>
      <c r="L100" t="s">
        <v>851</v>
      </c>
      <c r="M100" t="s">
        <v>852</v>
      </c>
    </row>
    <row r="101" spans="1:13" ht="15">
      <c r="A101" t="s">
        <v>1154</v>
      </c>
      <c r="B101" t="s">
        <v>1155</v>
      </c>
      <c r="C101" t="s">
        <v>1156</v>
      </c>
      <c r="D101" s="522">
        <v>0</v>
      </c>
      <c r="E101" s="522">
        <v>25566371491</v>
      </c>
      <c r="F101" s="522">
        <v>318851904580</v>
      </c>
      <c r="G101" s="522">
        <v>293285533089</v>
      </c>
      <c r="H101" t="s">
        <v>275</v>
      </c>
      <c r="I101" t="s">
        <v>865</v>
      </c>
      <c r="J101" t="s">
        <v>872</v>
      </c>
      <c r="K101" t="s">
        <v>850</v>
      </c>
      <c r="L101" t="s">
        <v>851</v>
      </c>
      <c r="M101" t="s">
        <v>852</v>
      </c>
    </row>
    <row r="102" spans="1:13" ht="15">
      <c r="A102" t="s">
        <v>1157</v>
      </c>
      <c r="B102" t="s">
        <v>1158</v>
      </c>
      <c r="C102" t="s">
        <v>1159</v>
      </c>
      <c r="D102" s="522">
        <v>0</v>
      </c>
      <c r="E102" s="522">
        <v>58425639289</v>
      </c>
      <c r="F102" s="522">
        <v>31953452995</v>
      </c>
      <c r="G102" s="522">
        <v>-26472186294</v>
      </c>
      <c r="H102" t="s">
        <v>861</v>
      </c>
      <c r="I102" t="s">
        <v>848</v>
      </c>
      <c r="J102" t="s">
        <v>872</v>
      </c>
      <c r="K102" t="s">
        <v>850</v>
      </c>
      <c r="L102" t="s">
        <v>851</v>
      </c>
      <c r="M102" t="s">
        <v>852</v>
      </c>
    </row>
    <row r="103" spans="1:13" ht="15">
      <c r="A103" t="s">
        <v>1160</v>
      </c>
      <c r="B103" t="s">
        <v>1161</v>
      </c>
      <c r="C103" t="s">
        <v>1162</v>
      </c>
      <c r="D103" s="522">
        <v>0</v>
      </c>
      <c r="E103" s="522">
        <v>58425639289</v>
      </c>
      <c r="F103" s="522">
        <v>31953452995</v>
      </c>
      <c r="G103" s="522">
        <v>-26472186294</v>
      </c>
      <c r="H103" t="s">
        <v>275</v>
      </c>
      <c r="I103" t="s">
        <v>865</v>
      </c>
      <c r="J103" t="s">
        <v>872</v>
      </c>
      <c r="K103" t="s">
        <v>850</v>
      </c>
      <c r="L103" t="s">
        <v>851</v>
      </c>
      <c r="M103" t="s">
        <v>852</v>
      </c>
    </row>
    <row r="104" spans="1:13" ht="15">
      <c r="A104" t="s">
        <v>1163</v>
      </c>
      <c r="B104" t="s">
        <v>1164</v>
      </c>
      <c r="C104" t="s">
        <v>1165</v>
      </c>
      <c r="D104" s="522">
        <v>0</v>
      </c>
      <c r="E104" s="522">
        <v>0</v>
      </c>
      <c r="F104" s="522">
        <v>0</v>
      </c>
      <c r="G104" s="522">
        <v>0</v>
      </c>
      <c r="H104" t="s">
        <v>275</v>
      </c>
      <c r="I104" t="s">
        <v>865</v>
      </c>
      <c r="J104" t="s">
        <v>872</v>
      </c>
      <c r="K104" t="s">
        <v>850</v>
      </c>
      <c r="L104" t="s">
        <v>851</v>
      </c>
      <c r="M104" t="s">
        <v>852</v>
      </c>
    </row>
    <row r="105" spans="1:13" ht="15">
      <c r="A105" t="s">
        <v>1166</v>
      </c>
      <c r="B105" t="s">
        <v>1167</v>
      </c>
      <c r="C105" t="s">
        <v>778</v>
      </c>
      <c r="D105" s="522">
        <v>0</v>
      </c>
      <c r="E105" s="522">
        <v>0</v>
      </c>
      <c r="F105" s="522">
        <v>0</v>
      </c>
      <c r="G105" s="522">
        <v>0</v>
      </c>
      <c r="H105" t="s">
        <v>275</v>
      </c>
      <c r="I105" t="s">
        <v>848</v>
      </c>
      <c r="J105" t="s">
        <v>872</v>
      </c>
      <c r="K105" t="s">
        <v>850</v>
      </c>
      <c r="L105" t="s">
        <v>851</v>
      </c>
      <c r="M105" t="s">
        <v>852</v>
      </c>
    </row>
    <row r="106" spans="1:13" ht="15">
      <c r="A106" t="s">
        <v>1168</v>
      </c>
      <c r="B106" t="s">
        <v>1169</v>
      </c>
      <c r="C106" t="s">
        <v>1170</v>
      </c>
      <c r="D106" s="522">
        <v>0</v>
      </c>
      <c r="E106" s="522">
        <v>0</v>
      </c>
      <c r="F106" s="522">
        <v>-15117749254</v>
      </c>
      <c r="G106" s="522">
        <v>-15117749254</v>
      </c>
      <c r="H106" t="s">
        <v>861</v>
      </c>
      <c r="I106" t="s">
        <v>865</v>
      </c>
      <c r="J106" t="s">
        <v>872</v>
      </c>
      <c r="K106" t="s">
        <v>850</v>
      </c>
      <c r="L106" t="s">
        <v>851</v>
      </c>
      <c r="M106" t="s">
        <v>852</v>
      </c>
    </row>
    <row r="107" spans="1:13" ht="15">
      <c r="A107" t="s">
        <v>1171</v>
      </c>
      <c r="B107" t="s">
        <v>1172</v>
      </c>
      <c r="C107" t="s">
        <v>1173</v>
      </c>
      <c r="D107" s="522">
        <v>0</v>
      </c>
      <c r="E107" s="522">
        <v>0</v>
      </c>
      <c r="F107" s="522">
        <v>0</v>
      </c>
      <c r="G107" s="522">
        <v>0</v>
      </c>
      <c r="H107" t="s">
        <v>275</v>
      </c>
      <c r="I107" t="s">
        <v>865</v>
      </c>
      <c r="J107" t="s">
        <v>872</v>
      </c>
      <c r="K107" t="s">
        <v>850</v>
      </c>
      <c r="L107" t="s">
        <v>851</v>
      </c>
      <c r="M107" t="s">
        <v>852</v>
      </c>
    </row>
    <row r="108" spans="1:13" ht="15">
      <c r="A108" t="s">
        <v>1174</v>
      </c>
      <c r="B108" t="s">
        <v>1175</v>
      </c>
      <c r="C108" t="s">
        <v>1176</v>
      </c>
      <c r="D108" s="522">
        <v>0</v>
      </c>
      <c r="E108" s="522">
        <v>0</v>
      </c>
      <c r="F108" s="522">
        <v>0</v>
      </c>
      <c r="G108" s="522">
        <v>0</v>
      </c>
      <c r="H108" t="s">
        <v>275</v>
      </c>
      <c r="I108" t="s">
        <v>865</v>
      </c>
      <c r="J108" t="s">
        <v>872</v>
      </c>
      <c r="K108" t="s">
        <v>850</v>
      </c>
      <c r="L108" t="s">
        <v>851</v>
      </c>
      <c r="M108" t="s">
        <v>852</v>
      </c>
    </row>
    <row r="109" spans="1:13" ht="15">
      <c r="A109" t="s">
        <v>1177</v>
      </c>
      <c r="B109" t="s">
        <v>1178</v>
      </c>
      <c r="C109" t="s">
        <v>1179</v>
      </c>
      <c r="D109" s="522">
        <v>0</v>
      </c>
      <c r="E109" s="522">
        <v>0</v>
      </c>
      <c r="F109" s="522">
        <v>0</v>
      </c>
      <c r="G109" s="522">
        <v>0</v>
      </c>
      <c r="H109" t="s">
        <v>275</v>
      </c>
      <c r="I109" t="s">
        <v>865</v>
      </c>
      <c r="J109" t="s">
        <v>872</v>
      </c>
      <c r="K109" t="s">
        <v>850</v>
      </c>
      <c r="L109" t="s">
        <v>851</v>
      </c>
      <c r="M109" t="s">
        <v>852</v>
      </c>
    </row>
    <row r="110" spans="1:13" ht="15">
      <c r="A110" t="s">
        <v>1180</v>
      </c>
      <c r="B110" t="s">
        <v>1181</v>
      </c>
      <c r="C110" t="s">
        <v>1182</v>
      </c>
      <c r="D110" s="522">
        <v>0</v>
      </c>
      <c r="E110" s="522">
        <v>0</v>
      </c>
      <c r="F110" s="522">
        <v>0</v>
      </c>
      <c r="G110" s="522">
        <v>0</v>
      </c>
      <c r="H110" t="s">
        <v>275</v>
      </c>
      <c r="I110" t="s">
        <v>865</v>
      </c>
      <c r="J110" t="s">
        <v>872</v>
      </c>
      <c r="K110" t="s">
        <v>850</v>
      </c>
      <c r="L110" t="s">
        <v>851</v>
      </c>
      <c r="M110" t="s">
        <v>852</v>
      </c>
    </row>
    <row r="111" spans="1:13" ht="15">
      <c r="A111" t="s">
        <v>1183</v>
      </c>
      <c r="B111" t="s">
        <v>1184</v>
      </c>
      <c r="C111" t="s">
        <v>1185</v>
      </c>
      <c r="D111" s="522">
        <v>0</v>
      </c>
      <c r="E111" s="522">
        <v>0</v>
      </c>
      <c r="F111" s="522">
        <v>0</v>
      </c>
      <c r="G111" s="522">
        <v>0</v>
      </c>
      <c r="H111" t="s">
        <v>275</v>
      </c>
      <c r="I111" t="s">
        <v>865</v>
      </c>
      <c r="J111" t="s">
        <v>872</v>
      </c>
      <c r="K111" t="s">
        <v>850</v>
      </c>
      <c r="L111" t="s">
        <v>851</v>
      </c>
      <c r="M111" t="s">
        <v>852</v>
      </c>
    </row>
    <row r="112" spans="1:13" ht="15">
      <c r="A112" t="s">
        <v>1186</v>
      </c>
      <c r="B112" t="s">
        <v>1187</v>
      </c>
      <c r="C112" t="s">
        <v>1188</v>
      </c>
      <c r="D112" s="522">
        <v>0</v>
      </c>
      <c r="E112" s="522">
        <v>0</v>
      </c>
      <c r="F112" s="522">
        <v>-15117749254</v>
      </c>
      <c r="G112" s="522">
        <v>-15117749254</v>
      </c>
      <c r="H112" t="s">
        <v>275</v>
      </c>
      <c r="I112" t="s">
        <v>848</v>
      </c>
      <c r="J112" t="s">
        <v>872</v>
      </c>
      <c r="K112" t="s">
        <v>850</v>
      </c>
      <c r="L112" t="s">
        <v>851</v>
      </c>
      <c r="M112" t="s">
        <v>852</v>
      </c>
    </row>
    <row r="113" spans="1:13" ht="15">
      <c r="A113" t="s">
        <v>1189</v>
      </c>
      <c r="B113" t="s">
        <v>1190</v>
      </c>
      <c r="C113" t="s">
        <v>1191</v>
      </c>
      <c r="D113" s="522">
        <v>0</v>
      </c>
      <c r="E113" s="522">
        <v>0</v>
      </c>
      <c r="F113" s="522">
        <v>-15117749254</v>
      </c>
      <c r="G113" s="522">
        <v>-15117749254</v>
      </c>
      <c r="H113"/>
      <c r="I113" t="s">
        <v>865</v>
      </c>
      <c r="J113" t="s">
        <v>872</v>
      </c>
      <c r="K113" t="s">
        <v>850</v>
      </c>
      <c r="L113" t="s">
        <v>851</v>
      </c>
      <c r="M113" t="s">
        <v>852</v>
      </c>
    </row>
    <row r="114" spans="1:13" ht="15">
      <c r="A114" t="s">
        <v>1192</v>
      </c>
      <c r="B114" t="s">
        <v>1193</v>
      </c>
      <c r="C114" t="s">
        <v>1194</v>
      </c>
      <c r="D114" s="522">
        <v>0</v>
      </c>
      <c r="E114" s="522">
        <v>0</v>
      </c>
      <c r="F114" s="522">
        <v>0</v>
      </c>
      <c r="G114" s="522">
        <v>0</v>
      </c>
      <c r="H114"/>
      <c r="I114" t="s">
        <v>865</v>
      </c>
      <c r="J114" t="s">
        <v>872</v>
      </c>
      <c r="K114" t="s">
        <v>850</v>
      </c>
      <c r="L114" t="s">
        <v>851</v>
      </c>
      <c r="M114" t="s">
        <v>852</v>
      </c>
    </row>
    <row r="115" spans="1:13" ht="15">
      <c r="A115" t="s">
        <v>1195</v>
      </c>
      <c r="B115" t="s">
        <v>1196</v>
      </c>
      <c r="C115" t="s">
        <v>1197</v>
      </c>
      <c r="D115" s="522">
        <v>0</v>
      </c>
      <c r="E115" s="522">
        <v>0</v>
      </c>
      <c r="F115" s="522">
        <v>0</v>
      </c>
      <c r="G115" s="522">
        <v>0</v>
      </c>
      <c r="H115" t="s">
        <v>861</v>
      </c>
      <c r="I115" t="s">
        <v>848</v>
      </c>
      <c r="J115" t="s">
        <v>872</v>
      </c>
      <c r="K115" t="s">
        <v>850</v>
      </c>
      <c r="L115" t="s">
        <v>851</v>
      </c>
      <c r="M115" t="s">
        <v>852</v>
      </c>
    </row>
    <row r="116" spans="1:13" ht="15">
      <c r="A116" t="s">
        <v>1198</v>
      </c>
      <c r="B116" t="s">
        <v>1199</v>
      </c>
      <c r="C116" t="s">
        <v>1200</v>
      </c>
      <c r="D116" s="522">
        <v>0</v>
      </c>
      <c r="E116" s="522">
        <v>214580660521</v>
      </c>
      <c r="F116" s="522">
        <v>213106169762</v>
      </c>
      <c r="G116" s="522">
        <v>-1474490759</v>
      </c>
      <c r="H116" t="s">
        <v>5</v>
      </c>
      <c r="I116" t="s">
        <v>865</v>
      </c>
      <c r="J116" t="s">
        <v>872</v>
      </c>
      <c r="K116" t="s">
        <v>850</v>
      </c>
      <c r="L116" t="s">
        <v>851</v>
      </c>
      <c r="M116" t="s">
        <v>852</v>
      </c>
    </row>
    <row r="117" spans="1:13" ht="15">
      <c r="A117" t="s">
        <v>1201</v>
      </c>
      <c r="B117" t="s">
        <v>1202</v>
      </c>
      <c r="C117" t="s">
        <v>1203</v>
      </c>
      <c r="D117" s="522">
        <v>0</v>
      </c>
      <c r="E117" s="522">
        <v>1799727652</v>
      </c>
      <c r="F117" s="522">
        <v>201129908833</v>
      </c>
      <c r="G117" s="522">
        <v>199330181181</v>
      </c>
      <c r="H117" t="s">
        <v>857</v>
      </c>
      <c r="I117" t="s">
        <v>848</v>
      </c>
      <c r="J117" t="s">
        <v>872</v>
      </c>
      <c r="K117" t="s">
        <v>850</v>
      </c>
      <c r="L117" t="s">
        <v>851</v>
      </c>
      <c r="M117" t="s">
        <v>852</v>
      </c>
    </row>
    <row r="118" spans="1:13" ht="15">
      <c r="A118" t="s">
        <v>1204</v>
      </c>
      <c r="B118" t="s">
        <v>1205</v>
      </c>
      <c r="C118" t="s">
        <v>1206</v>
      </c>
      <c r="D118" s="522">
        <v>0</v>
      </c>
      <c r="E118" s="522">
        <v>0</v>
      </c>
      <c r="F118" s="522">
        <v>126722562939</v>
      </c>
      <c r="G118" s="522">
        <v>126722562939</v>
      </c>
      <c r="H118" t="s">
        <v>275</v>
      </c>
      <c r="I118" t="s">
        <v>848</v>
      </c>
      <c r="J118" t="s">
        <v>872</v>
      </c>
      <c r="K118" t="s">
        <v>850</v>
      </c>
      <c r="L118" t="s">
        <v>851</v>
      </c>
      <c r="M118" t="s">
        <v>852</v>
      </c>
    </row>
    <row r="119" spans="1:13" ht="15">
      <c r="A119" t="s">
        <v>1207</v>
      </c>
      <c r="B119" t="s">
        <v>1208</v>
      </c>
      <c r="C119" t="s">
        <v>1209</v>
      </c>
      <c r="D119" s="522">
        <v>0</v>
      </c>
      <c r="E119" s="522">
        <v>0</v>
      </c>
      <c r="F119" s="522">
        <v>63941615338</v>
      </c>
      <c r="G119" s="522">
        <v>63941615338</v>
      </c>
      <c r="H119" t="s">
        <v>275</v>
      </c>
      <c r="I119" t="s">
        <v>848</v>
      </c>
      <c r="J119" t="s">
        <v>872</v>
      </c>
      <c r="K119" t="s">
        <v>850</v>
      </c>
      <c r="L119" t="s">
        <v>851</v>
      </c>
      <c r="M119" t="s">
        <v>852</v>
      </c>
    </row>
    <row r="120" spans="1:13" ht="15">
      <c r="A120" t="s">
        <v>1210</v>
      </c>
      <c r="B120" t="s">
        <v>1211</v>
      </c>
      <c r="C120" t="s">
        <v>1212</v>
      </c>
      <c r="D120" s="522">
        <v>0</v>
      </c>
      <c r="E120" s="522">
        <v>0</v>
      </c>
      <c r="F120" s="522">
        <v>10465730556</v>
      </c>
      <c r="G120" s="522">
        <v>10465730556</v>
      </c>
      <c r="H120" t="s">
        <v>275</v>
      </c>
      <c r="I120" t="s">
        <v>848</v>
      </c>
      <c r="J120" t="s">
        <v>872</v>
      </c>
      <c r="K120" t="s">
        <v>850</v>
      </c>
      <c r="L120" t="s">
        <v>851</v>
      </c>
      <c r="M120" t="s">
        <v>852</v>
      </c>
    </row>
    <row r="121" spans="1:13" ht="15">
      <c r="A121" t="s">
        <v>1213</v>
      </c>
      <c r="B121" t="s">
        <v>1214</v>
      </c>
      <c r="C121" t="s">
        <v>1215</v>
      </c>
      <c r="D121" s="522">
        <v>1799727652</v>
      </c>
      <c r="E121" s="522">
        <v>1799727652</v>
      </c>
      <c r="F121" s="522">
        <v>0</v>
      </c>
      <c r="G121" s="522">
        <v>0</v>
      </c>
      <c r="H121" t="s">
        <v>861</v>
      </c>
      <c r="I121" t="s">
        <v>848</v>
      </c>
      <c r="J121" t="s">
        <v>849</v>
      </c>
      <c r="K121" t="s">
        <v>850</v>
      </c>
      <c r="L121" t="s">
        <v>851</v>
      </c>
      <c r="M121" t="s">
        <v>852</v>
      </c>
    </row>
    <row r="122" spans="1:13" ht="15">
      <c r="A122" t="s">
        <v>1216</v>
      </c>
      <c r="B122" t="s">
        <v>1217</v>
      </c>
      <c r="C122" t="s">
        <v>1218</v>
      </c>
      <c r="D122" s="522">
        <v>1799727652</v>
      </c>
      <c r="E122" s="522">
        <v>1799727652</v>
      </c>
      <c r="F122" s="522">
        <v>0</v>
      </c>
      <c r="G122" s="522">
        <v>0</v>
      </c>
      <c r="H122" t="s">
        <v>275</v>
      </c>
      <c r="I122" t="s">
        <v>848</v>
      </c>
      <c r="J122" t="s">
        <v>849</v>
      </c>
      <c r="K122" t="s">
        <v>850</v>
      </c>
      <c r="L122" t="s">
        <v>851</v>
      </c>
      <c r="M122" t="s">
        <v>852</v>
      </c>
    </row>
    <row r="123" spans="1:13" ht="15">
      <c r="A123" t="s">
        <v>1219</v>
      </c>
      <c r="B123" t="s">
        <v>1220</v>
      </c>
      <c r="C123" t="s">
        <v>1221</v>
      </c>
      <c r="D123" s="522">
        <v>149565610845</v>
      </c>
      <c r="E123" s="522">
        <v>150173197010</v>
      </c>
      <c r="F123" s="522">
        <v>607586165</v>
      </c>
      <c r="G123" s="522">
        <v>0</v>
      </c>
      <c r="H123" t="s">
        <v>857</v>
      </c>
      <c r="I123" t="s">
        <v>848</v>
      </c>
      <c r="J123" t="s">
        <v>849</v>
      </c>
      <c r="K123" t="s">
        <v>850</v>
      </c>
      <c r="L123" t="s">
        <v>851</v>
      </c>
      <c r="M123" t="s">
        <v>852</v>
      </c>
    </row>
    <row r="124" spans="1:13" ht="15">
      <c r="A124" t="s">
        <v>1222</v>
      </c>
      <c r="B124" t="s">
        <v>1223</v>
      </c>
      <c r="C124" t="s">
        <v>1224</v>
      </c>
      <c r="D124" s="522">
        <v>59064976773</v>
      </c>
      <c r="E124" s="522">
        <v>59064976773</v>
      </c>
      <c r="F124" s="522">
        <v>0</v>
      </c>
      <c r="G124" s="522">
        <v>0</v>
      </c>
      <c r="H124" t="s">
        <v>861</v>
      </c>
      <c r="I124" t="s">
        <v>848</v>
      </c>
      <c r="J124" t="s">
        <v>849</v>
      </c>
      <c r="K124" t="s">
        <v>850</v>
      </c>
      <c r="L124" t="s">
        <v>851</v>
      </c>
      <c r="M124" t="s">
        <v>852</v>
      </c>
    </row>
    <row r="125" spans="1:13" ht="15">
      <c r="A125" t="s">
        <v>1225</v>
      </c>
      <c r="B125" t="s">
        <v>1226</v>
      </c>
      <c r="C125" t="s">
        <v>1227</v>
      </c>
      <c r="D125" s="522">
        <v>29350591329</v>
      </c>
      <c r="E125" s="522">
        <v>29350591329</v>
      </c>
      <c r="F125" s="522">
        <v>0</v>
      </c>
      <c r="G125" s="522">
        <v>0</v>
      </c>
      <c r="H125" t="s">
        <v>275</v>
      </c>
      <c r="I125" t="s">
        <v>848</v>
      </c>
      <c r="J125" t="s">
        <v>849</v>
      </c>
      <c r="K125" t="s">
        <v>850</v>
      </c>
      <c r="L125" t="s">
        <v>851</v>
      </c>
      <c r="M125" t="s">
        <v>852</v>
      </c>
    </row>
    <row r="126" spans="1:13" ht="15">
      <c r="A126" t="s">
        <v>855</v>
      </c>
      <c r="B126" t="s">
        <v>1228</v>
      </c>
      <c r="C126" t="s">
        <v>1229</v>
      </c>
      <c r="D126" s="522">
        <v>19070038906</v>
      </c>
      <c r="E126" s="522">
        <v>19070038906</v>
      </c>
      <c r="F126" s="522">
        <v>0</v>
      </c>
      <c r="G126" s="522">
        <v>0</v>
      </c>
      <c r="H126" t="s">
        <v>275</v>
      </c>
      <c r="I126" t="s">
        <v>848</v>
      </c>
      <c r="J126" t="s">
        <v>849</v>
      </c>
      <c r="K126" t="s">
        <v>850</v>
      </c>
      <c r="L126" t="s">
        <v>851</v>
      </c>
      <c r="M126" t="s">
        <v>852</v>
      </c>
    </row>
    <row r="127" spans="1:13" ht="15">
      <c r="A127" t="s">
        <v>1230</v>
      </c>
      <c r="B127" t="s">
        <v>1231</v>
      </c>
      <c r="C127" t="s">
        <v>1232</v>
      </c>
      <c r="D127" s="522">
        <v>9416268011</v>
      </c>
      <c r="E127" s="522">
        <v>9416268011</v>
      </c>
      <c r="F127" s="522">
        <v>0</v>
      </c>
      <c r="G127" s="522">
        <v>0</v>
      </c>
      <c r="H127" t="s">
        <v>275</v>
      </c>
      <c r="I127" t="s">
        <v>848</v>
      </c>
      <c r="J127" t="s">
        <v>849</v>
      </c>
      <c r="K127" t="s">
        <v>850</v>
      </c>
      <c r="L127" t="s">
        <v>851</v>
      </c>
      <c r="M127" t="s">
        <v>852</v>
      </c>
    </row>
    <row r="128" spans="1:13" ht="15">
      <c r="A128" t="s">
        <v>1233</v>
      </c>
      <c r="B128" t="s">
        <v>1234</v>
      </c>
      <c r="C128" t="s">
        <v>1235</v>
      </c>
      <c r="D128" s="522">
        <v>1228078527</v>
      </c>
      <c r="E128" s="522">
        <v>1228078527</v>
      </c>
      <c r="F128" s="522">
        <v>0</v>
      </c>
      <c r="G128" s="522">
        <v>0</v>
      </c>
      <c r="H128" t="s">
        <v>275</v>
      </c>
      <c r="I128" t="s">
        <v>848</v>
      </c>
      <c r="J128" t="s">
        <v>849</v>
      </c>
      <c r="K128" t="s">
        <v>850</v>
      </c>
      <c r="L128" t="s">
        <v>851</v>
      </c>
      <c r="M128" t="s">
        <v>852</v>
      </c>
    </row>
    <row r="129" spans="1:13" ht="15">
      <c r="A129" t="s">
        <v>1236</v>
      </c>
      <c r="B129" t="s">
        <v>1237</v>
      </c>
      <c r="C129" t="s">
        <v>1238</v>
      </c>
      <c r="D129" s="522">
        <v>63591725269</v>
      </c>
      <c r="E129" s="522">
        <v>63591725269</v>
      </c>
      <c r="F129" s="522">
        <v>0</v>
      </c>
      <c r="G129" s="522">
        <v>0</v>
      </c>
      <c r="H129" t="s">
        <v>861</v>
      </c>
      <c r="I129" t="s">
        <v>848</v>
      </c>
      <c r="J129" t="s">
        <v>849</v>
      </c>
      <c r="K129" t="s">
        <v>850</v>
      </c>
      <c r="L129" t="s">
        <v>851</v>
      </c>
      <c r="M129" t="s">
        <v>852</v>
      </c>
    </row>
    <row r="130" spans="1:13" ht="15">
      <c r="A130" t="s">
        <v>1239</v>
      </c>
      <c r="B130" t="s">
        <v>1240</v>
      </c>
      <c r="C130" t="s">
        <v>1241</v>
      </c>
      <c r="D130" s="522">
        <v>58554986425</v>
      </c>
      <c r="E130" s="522">
        <v>58554986425</v>
      </c>
      <c r="F130" s="522">
        <v>0</v>
      </c>
      <c r="G130" s="522">
        <v>0</v>
      </c>
      <c r="H130" t="s">
        <v>275</v>
      </c>
      <c r="I130" t="s">
        <v>848</v>
      </c>
      <c r="J130" t="s">
        <v>849</v>
      </c>
      <c r="K130" t="s">
        <v>850</v>
      </c>
      <c r="L130" t="s">
        <v>851</v>
      </c>
      <c r="M130" t="s">
        <v>852</v>
      </c>
    </row>
    <row r="131" spans="1:13" ht="15">
      <c r="A131" t="s">
        <v>1242</v>
      </c>
      <c r="B131" t="s">
        <v>1243</v>
      </c>
      <c r="C131" t="s">
        <v>1244</v>
      </c>
      <c r="D131" s="522">
        <v>0</v>
      </c>
      <c r="E131" s="522">
        <v>0</v>
      </c>
      <c r="F131" s="522">
        <v>0</v>
      </c>
      <c r="G131" s="522">
        <v>0</v>
      </c>
      <c r="H131" t="s">
        <v>275</v>
      </c>
      <c r="I131" t="s">
        <v>865</v>
      </c>
      <c r="J131" t="s">
        <v>849</v>
      </c>
      <c r="K131" t="s">
        <v>850</v>
      </c>
      <c r="L131" t="s">
        <v>851</v>
      </c>
      <c r="M131" t="s">
        <v>852</v>
      </c>
    </row>
    <row r="132" spans="1:13" ht="15">
      <c r="A132" t="s">
        <v>1245</v>
      </c>
      <c r="B132" t="s">
        <v>1246</v>
      </c>
      <c r="C132" t="s">
        <v>1247</v>
      </c>
      <c r="D132" s="522">
        <v>0</v>
      </c>
      <c r="E132" s="522">
        <v>0</v>
      </c>
      <c r="F132" s="522">
        <v>0</v>
      </c>
      <c r="G132" s="522">
        <v>0</v>
      </c>
      <c r="H132" t="s">
        <v>275</v>
      </c>
      <c r="I132" t="s">
        <v>865</v>
      </c>
      <c r="J132" t="s">
        <v>849</v>
      </c>
      <c r="K132" t="s">
        <v>850</v>
      </c>
      <c r="L132" t="s">
        <v>851</v>
      </c>
      <c r="M132" t="s">
        <v>852</v>
      </c>
    </row>
    <row r="133" spans="1:13" ht="15">
      <c r="A133" t="s">
        <v>1248</v>
      </c>
      <c r="B133" t="s">
        <v>1249</v>
      </c>
      <c r="C133" t="s">
        <v>1250</v>
      </c>
      <c r="D133" s="522">
        <v>5036738844</v>
      </c>
      <c r="E133" s="522">
        <v>5036738844</v>
      </c>
      <c r="F133" s="522">
        <v>0</v>
      </c>
      <c r="G133" s="522">
        <v>0</v>
      </c>
      <c r="H133" t="s">
        <v>275</v>
      </c>
      <c r="I133" t="s">
        <v>865</v>
      </c>
      <c r="J133" t="s">
        <v>849</v>
      </c>
      <c r="K133" t="s">
        <v>850</v>
      </c>
      <c r="L133" t="s">
        <v>851</v>
      </c>
      <c r="M133" t="s">
        <v>852</v>
      </c>
    </row>
    <row r="134" spans="1:13" ht="15">
      <c r="A134" t="s">
        <v>1251</v>
      </c>
      <c r="B134" t="s">
        <v>1252</v>
      </c>
      <c r="C134" t="s">
        <v>1253</v>
      </c>
      <c r="D134" s="522">
        <v>26908908803</v>
      </c>
      <c r="E134" s="522">
        <v>27516494968</v>
      </c>
      <c r="F134" s="522">
        <v>607586165</v>
      </c>
      <c r="G134" s="522">
        <v>0</v>
      </c>
      <c r="H134" t="s">
        <v>861</v>
      </c>
      <c r="I134" t="s">
        <v>848</v>
      </c>
      <c r="J134" t="s">
        <v>849</v>
      </c>
      <c r="K134" t="s">
        <v>850</v>
      </c>
      <c r="L134" t="s">
        <v>851</v>
      </c>
      <c r="M134" t="s">
        <v>852</v>
      </c>
    </row>
    <row r="135" spans="1:13" ht="15">
      <c r="A135" t="s">
        <v>1254</v>
      </c>
      <c r="B135" t="s">
        <v>1255</v>
      </c>
      <c r="C135" t="s">
        <v>1256</v>
      </c>
      <c r="D135" s="522">
        <v>351358431</v>
      </c>
      <c r="E135" s="522">
        <v>351358431</v>
      </c>
      <c r="F135" s="522">
        <v>0</v>
      </c>
      <c r="G135" s="522">
        <v>0</v>
      </c>
      <c r="H135" t="s">
        <v>275</v>
      </c>
      <c r="I135" t="s">
        <v>848</v>
      </c>
      <c r="J135" t="s">
        <v>849</v>
      </c>
      <c r="K135" t="s">
        <v>850</v>
      </c>
      <c r="L135" t="s">
        <v>851</v>
      </c>
      <c r="M135" t="s">
        <v>852</v>
      </c>
    </row>
    <row r="136" spans="1:13" ht="15">
      <c r="A136" t="s">
        <v>1257</v>
      </c>
      <c r="B136" t="s">
        <v>1258</v>
      </c>
      <c r="C136" t="s">
        <v>1259</v>
      </c>
      <c r="D136" s="522">
        <v>32322534</v>
      </c>
      <c r="E136" s="522">
        <v>32322534</v>
      </c>
      <c r="F136" s="522">
        <v>0</v>
      </c>
      <c r="G136" s="522">
        <v>0</v>
      </c>
      <c r="H136" t="s">
        <v>275</v>
      </c>
      <c r="I136" t="s">
        <v>848</v>
      </c>
      <c r="J136" t="s">
        <v>849</v>
      </c>
      <c r="K136" t="s">
        <v>850</v>
      </c>
      <c r="L136" t="s">
        <v>851</v>
      </c>
      <c r="M136" t="s">
        <v>852</v>
      </c>
    </row>
    <row r="137" spans="1:13" ht="15">
      <c r="A137" t="s">
        <v>859</v>
      </c>
      <c r="B137" t="s">
        <v>1260</v>
      </c>
      <c r="C137" t="s">
        <v>1261</v>
      </c>
      <c r="D137" s="522">
        <v>0</v>
      </c>
      <c r="E137" s="522">
        <v>0</v>
      </c>
      <c r="F137" s="522">
        <v>0</v>
      </c>
      <c r="G137" s="522">
        <v>0</v>
      </c>
      <c r="H137" t="s">
        <v>275</v>
      </c>
      <c r="I137" t="s">
        <v>848</v>
      </c>
      <c r="J137" t="s">
        <v>849</v>
      </c>
      <c r="K137" t="s">
        <v>850</v>
      </c>
      <c r="L137" t="s">
        <v>851</v>
      </c>
      <c r="M137" t="s">
        <v>852</v>
      </c>
    </row>
    <row r="138" spans="1:13" ht="15">
      <c r="A138" t="s">
        <v>863</v>
      </c>
      <c r="B138" t="s">
        <v>1262</v>
      </c>
      <c r="C138" t="s">
        <v>1263</v>
      </c>
      <c r="D138" s="522">
        <v>3141819139</v>
      </c>
      <c r="E138" s="522">
        <v>3141819139</v>
      </c>
      <c r="F138" s="522">
        <v>0</v>
      </c>
      <c r="G138" s="522">
        <v>0</v>
      </c>
      <c r="H138" t="s">
        <v>275</v>
      </c>
      <c r="I138" t="s">
        <v>848</v>
      </c>
      <c r="J138" t="s">
        <v>849</v>
      </c>
      <c r="K138" t="s">
        <v>850</v>
      </c>
      <c r="L138" t="s">
        <v>851</v>
      </c>
      <c r="M138" t="s">
        <v>852</v>
      </c>
    </row>
    <row r="139" spans="1:13" ht="15">
      <c r="A139" t="s">
        <v>867</v>
      </c>
      <c r="B139" t="s">
        <v>1264</v>
      </c>
      <c r="C139" t="s">
        <v>1265</v>
      </c>
      <c r="D139" s="522">
        <v>0</v>
      </c>
      <c r="E139" s="522">
        <v>0</v>
      </c>
      <c r="F139" s="522">
        <v>0</v>
      </c>
      <c r="G139" s="522">
        <v>0</v>
      </c>
      <c r="H139" t="s">
        <v>275</v>
      </c>
      <c r="I139" t="s">
        <v>848</v>
      </c>
      <c r="J139" t="s">
        <v>849</v>
      </c>
      <c r="K139" t="s">
        <v>850</v>
      </c>
      <c r="L139" t="s">
        <v>851</v>
      </c>
      <c r="M139" t="s">
        <v>852</v>
      </c>
    </row>
    <row r="140" spans="1:13" ht="15">
      <c r="A140" t="s">
        <v>874</v>
      </c>
      <c r="B140" t="s">
        <v>1266</v>
      </c>
      <c r="C140" t="s">
        <v>1267</v>
      </c>
      <c r="D140" s="522">
        <v>254653317</v>
      </c>
      <c r="E140" s="522">
        <v>254653317</v>
      </c>
      <c r="F140" s="522">
        <v>0</v>
      </c>
      <c r="G140" s="522">
        <v>0</v>
      </c>
      <c r="H140" t="s">
        <v>275</v>
      </c>
      <c r="I140" t="s">
        <v>848</v>
      </c>
      <c r="J140" t="s">
        <v>849</v>
      </c>
      <c r="K140" t="s">
        <v>850</v>
      </c>
      <c r="L140" t="s">
        <v>851</v>
      </c>
      <c r="M140" t="s">
        <v>852</v>
      </c>
    </row>
    <row r="141" spans="1:13" ht="15">
      <c r="A141" t="s">
        <v>877</v>
      </c>
      <c r="B141" t="s">
        <v>1268</v>
      </c>
      <c r="C141" t="s">
        <v>1269</v>
      </c>
      <c r="D141" s="522">
        <v>0</v>
      </c>
      <c r="E141" s="522">
        <v>0</v>
      </c>
      <c r="F141" s="522">
        <v>0</v>
      </c>
      <c r="G141" s="522">
        <v>0</v>
      </c>
      <c r="H141" t="s">
        <v>275</v>
      </c>
      <c r="I141" t="s">
        <v>865</v>
      </c>
      <c r="J141" t="s">
        <v>849</v>
      </c>
      <c r="K141" t="s">
        <v>850</v>
      </c>
      <c r="L141" t="s">
        <v>851</v>
      </c>
      <c r="M141" t="s">
        <v>852</v>
      </c>
    </row>
    <row r="142" spans="1:13" ht="15">
      <c r="A142" t="s">
        <v>880</v>
      </c>
      <c r="B142" t="s">
        <v>1270</v>
      </c>
      <c r="C142" t="s">
        <v>1271</v>
      </c>
      <c r="D142" s="522">
        <v>200921564</v>
      </c>
      <c r="E142" s="522">
        <v>200921564</v>
      </c>
      <c r="F142" s="522">
        <v>0</v>
      </c>
      <c r="G142" s="522">
        <v>0</v>
      </c>
      <c r="H142" t="s">
        <v>275</v>
      </c>
      <c r="I142" t="s">
        <v>848</v>
      </c>
      <c r="J142" t="s">
        <v>849</v>
      </c>
      <c r="K142" t="s">
        <v>850</v>
      </c>
      <c r="L142" t="s">
        <v>851</v>
      </c>
      <c r="M142" t="s">
        <v>852</v>
      </c>
    </row>
    <row r="143" spans="1:13" ht="15">
      <c r="A143" t="s">
        <v>883</v>
      </c>
      <c r="B143" t="s">
        <v>1272</v>
      </c>
      <c r="C143" t="s">
        <v>1273</v>
      </c>
      <c r="D143" s="522">
        <v>8772644042</v>
      </c>
      <c r="E143" s="522">
        <v>9380230207</v>
      </c>
      <c r="F143" s="522">
        <v>607586165</v>
      </c>
      <c r="G143" s="522">
        <v>0</v>
      </c>
      <c r="H143" t="s">
        <v>275</v>
      </c>
      <c r="I143" t="s">
        <v>848</v>
      </c>
      <c r="J143" t="s">
        <v>849</v>
      </c>
      <c r="K143" t="s">
        <v>850</v>
      </c>
      <c r="L143" t="s">
        <v>851</v>
      </c>
      <c r="M143" t="s">
        <v>852</v>
      </c>
    </row>
    <row r="144" spans="1:13" ht="15">
      <c r="A144" t="s">
        <v>886</v>
      </c>
      <c r="B144" t="s">
        <v>1274</v>
      </c>
      <c r="C144" t="s">
        <v>1275</v>
      </c>
      <c r="D144" s="522">
        <v>0</v>
      </c>
      <c r="E144" s="522">
        <v>0</v>
      </c>
      <c r="F144" s="522">
        <v>0</v>
      </c>
      <c r="G144" s="522">
        <v>0</v>
      </c>
      <c r="H144" t="s">
        <v>275</v>
      </c>
      <c r="I144" t="s">
        <v>865</v>
      </c>
      <c r="J144" t="s">
        <v>849</v>
      </c>
      <c r="K144" t="s">
        <v>850</v>
      </c>
      <c r="L144" t="s">
        <v>851</v>
      </c>
      <c r="M144" t="s">
        <v>852</v>
      </c>
    </row>
    <row r="145" spans="1:13" ht="15">
      <c r="A145" t="s">
        <v>898</v>
      </c>
      <c r="B145" t="s">
        <v>1276</v>
      </c>
      <c r="C145" t="s">
        <v>1277</v>
      </c>
      <c r="D145" s="522">
        <v>0</v>
      </c>
      <c r="E145" s="522">
        <v>0</v>
      </c>
      <c r="F145" s="522">
        <v>0</v>
      </c>
      <c r="G145" s="522">
        <v>0</v>
      </c>
      <c r="H145" t="s">
        <v>275</v>
      </c>
      <c r="I145" t="s">
        <v>865</v>
      </c>
      <c r="J145" t="s">
        <v>849</v>
      </c>
      <c r="K145" t="s">
        <v>850</v>
      </c>
      <c r="L145" t="s">
        <v>851</v>
      </c>
      <c r="M145" t="s">
        <v>852</v>
      </c>
    </row>
    <row r="146" spans="1:13" ht="15">
      <c r="A146" t="s">
        <v>1278</v>
      </c>
      <c r="B146" t="s">
        <v>1279</v>
      </c>
      <c r="C146" t="s">
        <v>1280</v>
      </c>
      <c r="D146" s="522">
        <v>1347231572</v>
      </c>
      <c r="E146" s="522">
        <v>1347231572</v>
      </c>
      <c r="F146" s="522">
        <v>0</v>
      </c>
      <c r="G146" s="522">
        <v>0</v>
      </c>
      <c r="H146" t="s">
        <v>275</v>
      </c>
      <c r="I146" t="s">
        <v>865</v>
      </c>
      <c r="J146" t="s">
        <v>849</v>
      </c>
      <c r="K146" t="s">
        <v>850</v>
      </c>
      <c r="L146" t="s">
        <v>851</v>
      </c>
      <c r="M146" t="s">
        <v>852</v>
      </c>
    </row>
    <row r="147" spans="1:13" ht="15">
      <c r="A147" t="s">
        <v>1281</v>
      </c>
      <c r="B147" t="s">
        <v>1282</v>
      </c>
      <c r="C147" t="s">
        <v>1283</v>
      </c>
      <c r="D147" s="522">
        <v>8656295315</v>
      </c>
      <c r="E147" s="522">
        <v>8656295315</v>
      </c>
      <c r="F147" s="522">
        <v>0</v>
      </c>
      <c r="G147" s="522">
        <v>0</v>
      </c>
      <c r="H147" t="s">
        <v>275</v>
      </c>
      <c r="I147" t="s">
        <v>848</v>
      </c>
      <c r="J147" t="s">
        <v>849</v>
      </c>
      <c r="K147" t="s">
        <v>850</v>
      </c>
      <c r="L147" t="s">
        <v>851</v>
      </c>
      <c r="M147" t="s">
        <v>852</v>
      </c>
    </row>
    <row r="148" spans="1:13" ht="15">
      <c r="A148" t="s">
        <v>901</v>
      </c>
      <c r="B148" t="s">
        <v>1284</v>
      </c>
      <c r="C148" t="s">
        <v>1285</v>
      </c>
      <c r="D148" s="522">
        <v>3102411920</v>
      </c>
      <c r="E148" s="522">
        <v>3102411920</v>
      </c>
      <c r="F148" s="522">
        <v>0</v>
      </c>
      <c r="G148" s="522">
        <v>0</v>
      </c>
      <c r="H148" t="s">
        <v>275</v>
      </c>
      <c r="I148" t="s">
        <v>848</v>
      </c>
      <c r="J148" t="s">
        <v>849</v>
      </c>
      <c r="K148" t="s">
        <v>850</v>
      </c>
      <c r="L148" t="s">
        <v>851</v>
      </c>
      <c r="M148" t="s">
        <v>852</v>
      </c>
    </row>
    <row r="149" spans="1:13" ht="15">
      <c r="A149" t="s">
        <v>1286</v>
      </c>
      <c r="B149" t="s">
        <v>1287</v>
      </c>
      <c r="C149" t="s">
        <v>1288</v>
      </c>
      <c r="D149" s="522">
        <v>0</v>
      </c>
      <c r="E149" s="522">
        <v>0</v>
      </c>
      <c r="F149" s="522">
        <v>0</v>
      </c>
      <c r="G149" s="522">
        <v>0</v>
      </c>
      <c r="H149" t="s">
        <v>275</v>
      </c>
      <c r="I149" t="s">
        <v>848</v>
      </c>
      <c r="J149" t="s">
        <v>849</v>
      </c>
      <c r="K149" t="s">
        <v>850</v>
      </c>
      <c r="L149" t="s">
        <v>851</v>
      </c>
      <c r="M149" t="s">
        <v>852</v>
      </c>
    </row>
    <row r="150" spans="1:13" ht="15">
      <c r="A150" t="s">
        <v>1289</v>
      </c>
      <c r="B150" t="s">
        <v>1290</v>
      </c>
      <c r="C150" t="s">
        <v>1291</v>
      </c>
      <c r="D150" s="522">
        <v>0</v>
      </c>
      <c r="E150" s="522">
        <v>0</v>
      </c>
      <c r="F150" s="522">
        <v>0</v>
      </c>
      <c r="G150" s="522">
        <v>0</v>
      </c>
      <c r="H150" t="s">
        <v>275</v>
      </c>
      <c r="I150" t="s">
        <v>865</v>
      </c>
      <c r="J150" t="s">
        <v>849</v>
      </c>
      <c r="K150" t="s">
        <v>850</v>
      </c>
      <c r="L150" t="s">
        <v>851</v>
      </c>
      <c r="M150" t="s">
        <v>852</v>
      </c>
    </row>
    <row r="151" spans="1:13" ht="15">
      <c r="A151" t="s">
        <v>1292</v>
      </c>
      <c r="B151" t="s">
        <v>1293</v>
      </c>
      <c r="C151" t="s">
        <v>1294</v>
      </c>
      <c r="D151" s="522">
        <v>968504810</v>
      </c>
      <c r="E151" s="522">
        <v>968504810</v>
      </c>
      <c r="F151" s="522">
        <v>0</v>
      </c>
      <c r="G151" s="522">
        <v>0</v>
      </c>
      <c r="H151" t="s">
        <v>275</v>
      </c>
      <c r="I151" t="s">
        <v>865</v>
      </c>
      <c r="J151" t="s">
        <v>849</v>
      </c>
      <c r="K151" t="s">
        <v>850</v>
      </c>
      <c r="L151" t="s">
        <v>851</v>
      </c>
      <c r="M151" t="s">
        <v>852</v>
      </c>
    </row>
    <row r="152" spans="1:13" ht="15">
      <c r="A152" t="s">
        <v>1295</v>
      </c>
      <c r="B152" t="s">
        <v>1296</v>
      </c>
      <c r="C152" t="s">
        <v>1297</v>
      </c>
      <c r="D152" s="522">
        <v>0</v>
      </c>
      <c r="E152" s="522">
        <v>0</v>
      </c>
      <c r="F152" s="522">
        <v>0</v>
      </c>
      <c r="G152" s="522">
        <v>0</v>
      </c>
      <c r="H152" t="s">
        <v>275</v>
      </c>
      <c r="I152" t="s">
        <v>848</v>
      </c>
      <c r="J152" t="s">
        <v>849</v>
      </c>
      <c r="K152" t="s">
        <v>850</v>
      </c>
      <c r="L152" t="s">
        <v>851</v>
      </c>
      <c r="M152" t="s">
        <v>852</v>
      </c>
    </row>
    <row r="153" spans="1:13" ht="15">
      <c r="A153" t="s">
        <v>1298</v>
      </c>
      <c r="B153" t="s">
        <v>1299</v>
      </c>
      <c r="C153" t="s">
        <v>1300</v>
      </c>
      <c r="D153" s="522">
        <v>0</v>
      </c>
      <c r="E153" s="522">
        <v>0</v>
      </c>
      <c r="F153" s="522">
        <v>0</v>
      </c>
      <c r="G153" s="522">
        <v>0</v>
      </c>
      <c r="H153" t="s">
        <v>275</v>
      </c>
      <c r="I153" t="s">
        <v>848</v>
      </c>
      <c r="J153" t="s">
        <v>849</v>
      </c>
      <c r="K153" t="s">
        <v>850</v>
      </c>
      <c r="L153" t="s">
        <v>851</v>
      </c>
      <c r="M153" t="s">
        <v>852</v>
      </c>
    </row>
    <row r="154" spans="1:13" ht="15">
      <c r="A154" t="s">
        <v>1301</v>
      </c>
      <c r="B154" t="s">
        <v>1302</v>
      </c>
      <c r="C154" t="s">
        <v>1303</v>
      </c>
      <c r="D154" s="522">
        <v>0</v>
      </c>
      <c r="E154" s="522">
        <v>0</v>
      </c>
      <c r="F154" s="522">
        <v>0</v>
      </c>
      <c r="G154" s="522">
        <v>0</v>
      </c>
      <c r="H154" t="s">
        <v>275</v>
      </c>
      <c r="I154" t="s">
        <v>848</v>
      </c>
      <c r="J154" t="s">
        <v>849</v>
      </c>
      <c r="K154" t="s">
        <v>850</v>
      </c>
      <c r="L154" t="s">
        <v>851</v>
      </c>
      <c r="M154" t="s">
        <v>852</v>
      </c>
    </row>
    <row r="155" spans="1:13" ht="15">
      <c r="A155" t="s">
        <v>1304</v>
      </c>
      <c r="B155" t="s">
        <v>1305</v>
      </c>
      <c r="C155" t="s">
        <v>1306</v>
      </c>
      <c r="D155" s="522">
        <v>0</v>
      </c>
      <c r="E155" s="522">
        <v>0</v>
      </c>
      <c r="F155" s="522">
        <v>0</v>
      </c>
      <c r="G155" s="522">
        <v>0</v>
      </c>
      <c r="H155" t="s">
        <v>275</v>
      </c>
      <c r="I155" t="s">
        <v>848</v>
      </c>
      <c r="J155" t="s">
        <v>849</v>
      </c>
      <c r="K155" t="s">
        <v>850</v>
      </c>
      <c r="L155" t="s">
        <v>851</v>
      </c>
      <c r="M155" t="s">
        <v>852</v>
      </c>
    </row>
    <row r="156" spans="1:13" ht="15">
      <c r="A156" t="s">
        <v>904</v>
      </c>
      <c r="B156" t="s">
        <v>1307</v>
      </c>
      <c r="C156" t="s">
        <v>1308</v>
      </c>
      <c r="D156" s="522">
        <v>80746159</v>
      </c>
      <c r="E156" s="522">
        <v>80746159</v>
      </c>
      <c r="F156" s="522">
        <v>0</v>
      </c>
      <c r="G156" s="522">
        <v>0</v>
      </c>
      <c r="H156" t="s">
        <v>275</v>
      </c>
      <c r="I156" t="s">
        <v>848</v>
      </c>
      <c r="J156" t="s">
        <v>849</v>
      </c>
      <c r="K156" t="s">
        <v>850</v>
      </c>
      <c r="L156" t="s">
        <v>851</v>
      </c>
      <c r="M156" t="s">
        <v>852</v>
      </c>
    </row>
    <row r="157" spans="1:13" ht="15">
      <c r="A157" t="s">
        <v>907</v>
      </c>
      <c r="B157" t="s">
        <v>1309</v>
      </c>
      <c r="C157" t="s">
        <v>1310</v>
      </c>
      <c r="D157" s="522">
        <v>0</v>
      </c>
      <c r="E157" s="522">
        <v>0</v>
      </c>
      <c r="F157" s="522">
        <v>0</v>
      </c>
      <c r="G157" s="522">
        <v>0</v>
      </c>
      <c r="H157" t="s">
        <v>275</v>
      </c>
      <c r="I157" t="s">
        <v>865</v>
      </c>
      <c r="J157" t="s">
        <v>849</v>
      </c>
      <c r="K157" t="s">
        <v>850</v>
      </c>
      <c r="L157" t="s">
        <v>851</v>
      </c>
      <c r="M157" t="s">
        <v>852</v>
      </c>
    </row>
    <row r="158" spans="1:13" ht="15">
      <c r="A158" t="s">
        <v>910</v>
      </c>
      <c r="B158" t="s">
        <v>1311</v>
      </c>
      <c r="C158" t="s">
        <v>1312</v>
      </c>
      <c r="D158" s="522">
        <v>0</v>
      </c>
      <c r="E158" s="522">
        <v>0</v>
      </c>
      <c r="F158" s="522">
        <v>0</v>
      </c>
      <c r="G158" s="522">
        <v>0</v>
      </c>
      <c r="H158" t="s">
        <v>275</v>
      </c>
      <c r="I158" t="s">
        <v>848</v>
      </c>
      <c r="J158" t="s">
        <v>849</v>
      </c>
      <c r="K158" t="s">
        <v>850</v>
      </c>
      <c r="L158" t="s">
        <v>851</v>
      </c>
      <c r="M158" t="s">
        <v>852</v>
      </c>
    </row>
    <row r="159" spans="1:13" ht="15">
      <c r="A159" t="s">
        <v>913</v>
      </c>
      <c r="B159" t="s">
        <v>1313</v>
      </c>
      <c r="C159" t="s">
        <v>1314</v>
      </c>
      <c r="D159" s="522">
        <v>0</v>
      </c>
      <c r="E159" s="522">
        <v>0</v>
      </c>
      <c r="F159" s="522">
        <v>0</v>
      </c>
      <c r="G159" s="522">
        <v>0</v>
      </c>
      <c r="H159" t="s">
        <v>275</v>
      </c>
      <c r="I159" t="s">
        <v>865</v>
      </c>
      <c r="J159" t="s">
        <v>849</v>
      </c>
      <c r="K159" t="s">
        <v>850</v>
      </c>
      <c r="L159" t="s">
        <v>851</v>
      </c>
      <c r="M159" t="s">
        <v>852</v>
      </c>
    </row>
    <row r="160" spans="1:13" ht="15">
      <c r="A160" t="s">
        <v>916</v>
      </c>
      <c r="B160" t="s">
        <v>1315</v>
      </c>
      <c r="C160" t="s">
        <v>1316</v>
      </c>
      <c r="D160" s="522">
        <v>0</v>
      </c>
      <c r="E160" s="522">
        <v>0</v>
      </c>
      <c r="F160" s="522">
        <v>0</v>
      </c>
      <c r="G160" s="522">
        <v>0</v>
      </c>
      <c r="H160" t="s">
        <v>275</v>
      </c>
      <c r="I160" t="s">
        <v>865</v>
      </c>
      <c r="J160" t="s">
        <v>849</v>
      </c>
      <c r="K160" t="s">
        <v>850</v>
      </c>
      <c r="L160" t="s">
        <v>851</v>
      </c>
      <c r="M160" t="s">
        <v>852</v>
      </c>
    </row>
    <row r="161" spans="1:13" ht="15">
      <c r="A161" t="s">
        <v>919</v>
      </c>
      <c r="B161" t="s">
        <v>1317</v>
      </c>
      <c r="C161" t="s">
        <v>1318</v>
      </c>
      <c r="D161" s="522">
        <v>0</v>
      </c>
      <c r="E161" s="522">
        <v>0</v>
      </c>
      <c r="F161" s="522">
        <v>0</v>
      </c>
      <c r="G161" s="522">
        <v>0</v>
      </c>
      <c r="H161" t="s">
        <v>275</v>
      </c>
      <c r="I161" t="s">
        <v>865</v>
      </c>
      <c r="J161" t="s">
        <v>849</v>
      </c>
      <c r="K161" t="s">
        <v>850</v>
      </c>
      <c r="L161" t="s">
        <v>851</v>
      </c>
      <c r="M161" t="s">
        <v>852</v>
      </c>
    </row>
    <row r="162" spans="1:13" ht="15">
      <c r="A162" t="s">
        <v>922</v>
      </c>
      <c r="B162" t="s">
        <v>1319</v>
      </c>
      <c r="C162" t="s">
        <v>1320</v>
      </c>
      <c r="D162" s="522">
        <v>0</v>
      </c>
      <c r="E162" s="522">
        <v>0</v>
      </c>
      <c r="F162" s="522">
        <v>0</v>
      </c>
      <c r="G162" s="522">
        <v>0</v>
      </c>
      <c r="H162" t="s">
        <v>861</v>
      </c>
      <c r="I162" t="s">
        <v>848</v>
      </c>
      <c r="J162" t="s">
        <v>849</v>
      </c>
      <c r="K162" t="s">
        <v>850</v>
      </c>
      <c r="L162" t="s">
        <v>851</v>
      </c>
      <c r="M162" t="s">
        <v>852</v>
      </c>
    </row>
    <row r="163" spans="1:13" ht="15">
      <c r="A163" t="s">
        <v>925</v>
      </c>
      <c r="B163" t="s">
        <v>1321</v>
      </c>
      <c r="C163" t="s">
        <v>1322</v>
      </c>
      <c r="D163" s="522">
        <v>9999470686</v>
      </c>
      <c r="E163" s="522">
        <v>9999470686</v>
      </c>
      <c r="F163" s="522">
        <v>0</v>
      </c>
      <c r="G163" s="522">
        <v>0</v>
      </c>
      <c r="H163" t="s">
        <v>857</v>
      </c>
      <c r="I163" t="s">
        <v>848</v>
      </c>
      <c r="J163" t="s">
        <v>849</v>
      </c>
      <c r="K163" t="s">
        <v>850</v>
      </c>
      <c r="L163" t="s">
        <v>851</v>
      </c>
      <c r="M163" t="s">
        <v>852</v>
      </c>
    </row>
    <row r="164" spans="1:13" ht="15">
      <c r="A164" t="s">
        <v>1323</v>
      </c>
      <c r="B164" t="s">
        <v>1324</v>
      </c>
      <c r="C164" t="s">
        <v>1325</v>
      </c>
      <c r="D164" s="522">
        <v>5790366536</v>
      </c>
      <c r="E164" s="522">
        <v>5790366536</v>
      </c>
      <c r="F164" s="522">
        <v>0</v>
      </c>
      <c r="G164" s="522">
        <v>0</v>
      </c>
      <c r="H164" t="s">
        <v>861</v>
      </c>
      <c r="I164" t="s">
        <v>848</v>
      </c>
      <c r="J164" t="s">
        <v>849</v>
      </c>
      <c r="K164" t="s">
        <v>850</v>
      </c>
      <c r="L164" t="s">
        <v>851</v>
      </c>
      <c r="M164" t="s">
        <v>852</v>
      </c>
    </row>
    <row r="165" spans="1:13" ht="15">
      <c r="A165" t="s">
        <v>1326</v>
      </c>
      <c r="B165" t="s">
        <v>1327</v>
      </c>
      <c r="C165" t="s">
        <v>1241</v>
      </c>
      <c r="D165" s="522">
        <v>4099651600</v>
      </c>
      <c r="E165" s="522">
        <v>4099651600</v>
      </c>
      <c r="F165" s="522">
        <v>0</v>
      </c>
      <c r="G165" s="522">
        <v>0</v>
      </c>
      <c r="H165" t="s">
        <v>275</v>
      </c>
      <c r="I165" t="s">
        <v>848</v>
      </c>
      <c r="J165" t="s">
        <v>849</v>
      </c>
      <c r="K165" t="s">
        <v>850</v>
      </c>
      <c r="L165" t="s">
        <v>851</v>
      </c>
      <c r="M165" t="s">
        <v>852</v>
      </c>
    </row>
    <row r="166" spans="1:13" ht="15">
      <c r="A166" t="s">
        <v>928</v>
      </c>
      <c r="B166" t="s">
        <v>1328</v>
      </c>
      <c r="C166" t="s">
        <v>1244</v>
      </c>
      <c r="D166" s="522">
        <v>132150</v>
      </c>
      <c r="E166" s="522">
        <v>132150</v>
      </c>
      <c r="F166" s="522">
        <v>0</v>
      </c>
      <c r="G166" s="522">
        <v>0</v>
      </c>
      <c r="H166" t="s">
        <v>275</v>
      </c>
      <c r="I166" t="s">
        <v>865</v>
      </c>
      <c r="J166" t="s">
        <v>849</v>
      </c>
      <c r="K166" t="s">
        <v>850</v>
      </c>
      <c r="L166" t="s">
        <v>851</v>
      </c>
      <c r="M166" t="s">
        <v>852</v>
      </c>
    </row>
    <row r="167" spans="1:13" ht="15">
      <c r="A167" t="s">
        <v>931</v>
      </c>
      <c r="B167" t="s">
        <v>1329</v>
      </c>
      <c r="C167" t="s">
        <v>1330</v>
      </c>
      <c r="D167" s="522">
        <v>0</v>
      </c>
      <c r="E167" s="522">
        <v>0</v>
      </c>
      <c r="F167" s="522">
        <v>0</v>
      </c>
      <c r="G167" s="522">
        <v>0</v>
      </c>
      <c r="H167" t="s">
        <v>275</v>
      </c>
      <c r="I167" t="s">
        <v>865</v>
      </c>
      <c r="J167" t="s">
        <v>849</v>
      </c>
      <c r="K167" t="s">
        <v>850</v>
      </c>
      <c r="L167" t="s">
        <v>851</v>
      </c>
      <c r="M167" t="s">
        <v>852</v>
      </c>
    </row>
    <row r="168" spans="1:13" ht="15">
      <c r="A168" t="s">
        <v>1331</v>
      </c>
      <c r="B168" t="s">
        <v>1332</v>
      </c>
      <c r="C168" t="s">
        <v>1333</v>
      </c>
      <c r="D168" s="522">
        <v>475024507</v>
      </c>
      <c r="E168" s="522">
        <v>475024507</v>
      </c>
      <c r="F168" s="522">
        <v>0</v>
      </c>
      <c r="G168" s="522">
        <v>0</v>
      </c>
      <c r="H168" t="s">
        <v>275</v>
      </c>
      <c r="I168" t="s">
        <v>865</v>
      </c>
      <c r="J168" t="s">
        <v>849</v>
      </c>
      <c r="K168" t="s">
        <v>850</v>
      </c>
      <c r="L168" t="s">
        <v>851</v>
      </c>
      <c r="M168" t="s">
        <v>852</v>
      </c>
    </row>
    <row r="169" spans="1:13" ht="15">
      <c r="A169" t="s">
        <v>1334</v>
      </c>
      <c r="B169" t="s">
        <v>1335</v>
      </c>
      <c r="C169" t="s">
        <v>1250</v>
      </c>
      <c r="D169" s="522">
        <v>1215191786</v>
      </c>
      <c r="E169" s="522">
        <v>1215191786</v>
      </c>
      <c r="F169" s="522">
        <v>0</v>
      </c>
      <c r="G169" s="522">
        <v>0</v>
      </c>
      <c r="H169" t="s">
        <v>275</v>
      </c>
      <c r="I169" t="s">
        <v>865</v>
      </c>
      <c r="J169" t="s">
        <v>849</v>
      </c>
      <c r="K169" t="s">
        <v>850</v>
      </c>
      <c r="L169" t="s">
        <v>851</v>
      </c>
      <c r="M169" t="s">
        <v>852</v>
      </c>
    </row>
    <row r="170" spans="1:13" ht="15">
      <c r="A170" t="s">
        <v>1336</v>
      </c>
      <c r="B170" t="s">
        <v>1337</v>
      </c>
      <c r="C170" t="s">
        <v>1338</v>
      </c>
      <c r="D170" s="522">
        <v>366493</v>
      </c>
      <c r="E170" s="522">
        <v>366493</v>
      </c>
      <c r="F170" s="522">
        <v>0</v>
      </c>
      <c r="G170" s="522">
        <v>0</v>
      </c>
      <c r="H170" t="s">
        <v>275</v>
      </c>
      <c r="I170" t="s">
        <v>865</v>
      </c>
      <c r="J170" t="s">
        <v>849</v>
      </c>
      <c r="K170" t="s">
        <v>850</v>
      </c>
      <c r="L170" t="s">
        <v>851</v>
      </c>
      <c r="M170" t="s">
        <v>852</v>
      </c>
    </row>
    <row r="171" spans="1:13" ht="15">
      <c r="A171" t="s">
        <v>934</v>
      </c>
      <c r="B171" t="s">
        <v>1339</v>
      </c>
      <c r="C171" t="s">
        <v>1340</v>
      </c>
      <c r="D171" s="522">
        <v>4209104150</v>
      </c>
      <c r="E171" s="522">
        <v>4209104150</v>
      </c>
      <c r="F171" s="522">
        <v>0</v>
      </c>
      <c r="G171" s="522">
        <v>0</v>
      </c>
      <c r="H171" t="s">
        <v>861</v>
      </c>
      <c r="I171" t="s">
        <v>848</v>
      </c>
      <c r="J171" t="s">
        <v>849</v>
      </c>
      <c r="K171" t="s">
        <v>850</v>
      </c>
      <c r="L171" t="s">
        <v>851</v>
      </c>
      <c r="M171" t="s">
        <v>852</v>
      </c>
    </row>
    <row r="172" spans="1:13" ht="15">
      <c r="A172" t="s">
        <v>937</v>
      </c>
      <c r="B172" t="s">
        <v>1341</v>
      </c>
      <c r="C172" t="s">
        <v>1342</v>
      </c>
      <c r="D172" s="522">
        <v>266203390</v>
      </c>
      <c r="E172" s="522">
        <v>266203390</v>
      </c>
      <c r="F172" s="522">
        <v>0</v>
      </c>
      <c r="G172" s="522">
        <v>0</v>
      </c>
      <c r="H172" t="s">
        <v>275</v>
      </c>
      <c r="I172" t="s">
        <v>848</v>
      </c>
      <c r="J172" t="s">
        <v>849</v>
      </c>
      <c r="K172" t="s">
        <v>850</v>
      </c>
      <c r="L172" t="s">
        <v>851</v>
      </c>
      <c r="M172" t="s">
        <v>852</v>
      </c>
    </row>
    <row r="173" spans="1:13" ht="15">
      <c r="A173" t="s">
        <v>940</v>
      </c>
      <c r="B173" t="s">
        <v>1343</v>
      </c>
      <c r="C173" t="s">
        <v>1344</v>
      </c>
      <c r="D173" s="522">
        <v>25746420</v>
      </c>
      <c r="E173" s="522">
        <v>25746420</v>
      </c>
      <c r="F173" s="522">
        <v>0</v>
      </c>
      <c r="G173" s="522">
        <v>0</v>
      </c>
      <c r="H173" t="s">
        <v>275</v>
      </c>
      <c r="I173" t="s">
        <v>848</v>
      </c>
      <c r="J173" t="s">
        <v>849</v>
      </c>
      <c r="K173" t="s">
        <v>850</v>
      </c>
      <c r="L173" t="s">
        <v>851</v>
      </c>
      <c r="M173" t="s">
        <v>852</v>
      </c>
    </row>
    <row r="174" spans="1:13" ht="15">
      <c r="A174" t="s">
        <v>1345</v>
      </c>
      <c r="B174" t="s">
        <v>1346</v>
      </c>
      <c r="C174" t="s">
        <v>1261</v>
      </c>
      <c r="D174" s="522">
        <v>183485010</v>
      </c>
      <c r="E174" s="522">
        <v>183485010</v>
      </c>
      <c r="F174" s="522">
        <v>0</v>
      </c>
      <c r="G174" s="522">
        <v>0</v>
      </c>
      <c r="H174" t="s">
        <v>275</v>
      </c>
      <c r="I174" t="s">
        <v>848</v>
      </c>
      <c r="J174" t="s">
        <v>849</v>
      </c>
      <c r="K174" t="s">
        <v>850</v>
      </c>
      <c r="L174" t="s">
        <v>851</v>
      </c>
      <c r="M174" t="s">
        <v>852</v>
      </c>
    </row>
    <row r="175" spans="1:13" ht="15">
      <c r="A175" t="s">
        <v>943</v>
      </c>
      <c r="B175" t="s">
        <v>1347</v>
      </c>
      <c r="C175" t="s">
        <v>1263</v>
      </c>
      <c r="D175" s="522">
        <v>0</v>
      </c>
      <c r="E175" s="522">
        <v>0</v>
      </c>
      <c r="F175" s="522">
        <v>0</v>
      </c>
      <c r="G175" s="522">
        <v>0</v>
      </c>
      <c r="H175" t="s">
        <v>275</v>
      </c>
      <c r="I175" t="s">
        <v>848</v>
      </c>
      <c r="J175" t="s">
        <v>849</v>
      </c>
      <c r="K175" t="s">
        <v>850</v>
      </c>
      <c r="L175" t="s">
        <v>851</v>
      </c>
      <c r="M175" t="s">
        <v>852</v>
      </c>
    </row>
    <row r="176" spans="1:13" ht="15">
      <c r="A176" t="s">
        <v>1348</v>
      </c>
      <c r="B176" t="s">
        <v>1349</v>
      </c>
      <c r="C176" t="s">
        <v>1350</v>
      </c>
      <c r="D176" s="522">
        <v>1388886076</v>
      </c>
      <c r="E176" s="522">
        <v>1388886076</v>
      </c>
      <c r="F176" s="522">
        <v>0</v>
      </c>
      <c r="G176" s="522">
        <v>0</v>
      </c>
      <c r="H176" t="s">
        <v>275</v>
      </c>
      <c r="I176" t="s">
        <v>848</v>
      </c>
      <c r="J176" t="s">
        <v>849</v>
      </c>
      <c r="K176" t="s">
        <v>850</v>
      </c>
      <c r="L176" t="s">
        <v>851</v>
      </c>
      <c r="M176" t="s">
        <v>852</v>
      </c>
    </row>
    <row r="177" spans="1:13" ht="15">
      <c r="A177" t="s">
        <v>949</v>
      </c>
      <c r="B177" t="s">
        <v>1351</v>
      </c>
      <c r="C177" t="s">
        <v>1267</v>
      </c>
      <c r="D177" s="522">
        <v>163074154</v>
      </c>
      <c r="E177" s="522">
        <v>163074154</v>
      </c>
      <c r="F177" s="522">
        <v>0</v>
      </c>
      <c r="G177" s="522">
        <v>0</v>
      </c>
      <c r="H177" t="s">
        <v>275</v>
      </c>
      <c r="I177" t="s">
        <v>848</v>
      </c>
      <c r="J177" t="s">
        <v>849</v>
      </c>
      <c r="K177" t="s">
        <v>850</v>
      </c>
      <c r="L177" t="s">
        <v>851</v>
      </c>
      <c r="M177" t="s">
        <v>852</v>
      </c>
    </row>
    <row r="178" spans="1:13" ht="15">
      <c r="A178" t="s">
        <v>952</v>
      </c>
      <c r="B178" t="s">
        <v>1352</v>
      </c>
      <c r="C178" t="s">
        <v>1269</v>
      </c>
      <c r="D178" s="522">
        <v>0</v>
      </c>
      <c r="E178" s="522">
        <v>0</v>
      </c>
      <c r="F178" s="522">
        <v>0</v>
      </c>
      <c r="G178" s="522">
        <v>0</v>
      </c>
      <c r="H178" t="s">
        <v>275</v>
      </c>
      <c r="I178" t="s">
        <v>848</v>
      </c>
      <c r="J178" t="s">
        <v>849</v>
      </c>
      <c r="K178" t="s">
        <v>850</v>
      </c>
      <c r="L178" t="s">
        <v>851</v>
      </c>
      <c r="M178" t="s">
        <v>852</v>
      </c>
    </row>
    <row r="179" spans="1:13" ht="15">
      <c r="A179" t="s">
        <v>1353</v>
      </c>
      <c r="B179" t="s">
        <v>1354</v>
      </c>
      <c r="C179" t="s">
        <v>1271</v>
      </c>
      <c r="D179" s="522">
        <v>49209705</v>
      </c>
      <c r="E179" s="522">
        <v>49209705</v>
      </c>
      <c r="F179" s="522">
        <v>0</v>
      </c>
      <c r="G179" s="522">
        <v>0</v>
      </c>
      <c r="H179" t="s">
        <v>275</v>
      </c>
      <c r="I179" t="s">
        <v>848</v>
      </c>
      <c r="J179" t="s">
        <v>849</v>
      </c>
      <c r="K179" t="s">
        <v>850</v>
      </c>
      <c r="L179" t="s">
        <v>851</v>
      </c>
      <c r="M179" t="s">
        <v>852</v>
      </c>
    </row>
    <row r="180" spans="1:13" ht="15">
      <c r="A180" t="s">
        <v>1355</v>
      </c>
      <c r="B180" t="s">
        <v>1356</v>
      </c>
      <c r="C180" t="s">
        <v>1273</v>
      </c>
      <c r="D180" s="522">
        <v>144823154</v>
      </c>
      <c r="E180" s="522">
        <v>144823154</v>
      </c>
      <c r="F180" s="522">
        <v>0</v>
      </c>
      <c r="G180" s="522">
        <v>0</v>
      </c>
      <c r="H180" t="s">
        <v>275</v>
      </c>
      <c r="I180" t="s">
        <v>848</v>
      </c>
      <c r="J180" t="s">
        <v>849</v>
      </c>
      <c r="K180" t="s">
        <v>850</v>
      </c>
      <c r="L180" t="s">
        <v>851</v>
      </c>
      <c r="M180" t="s">
        <v>852</v>
      </c>
    </row>
    <row r="181" spans="1:13" ht="15">
      <c r="A181" t="s">
        <v>1357</v>
      </c>
      <c r="B181" t="s">
        <v>1358</v>
      </c>
      <c r="C181" t="s">
        <v>1359</v>
      </c>
      <c r="D181" s="522">
        <v>41723600</v>
      </c>
      <c r="E181" s="522">
        <v>41723600</v>
      </c>
      <c r="F181" s="522">
        <v>0</v>
      </c>
      <c r="G181" s="522">
        <v>0</v>
      </c>
      <c r="H181" t="s">
        <v>275</v>
      </c>
      <c r="I181" t="s">
        <v>865</v>
      </c>
      <c r="J181" t="s">
        <v>849</v>
      </c>
      <c r="K181" t="s">
        <v>850</v>
      </c>
      <c r="L181" t="s">
        <v>851</v>
      </c>
      <c r="M181" t="s">
        <v>852</v>
      </c>
    </row>
    <row r="182" spans="1:13" ht="15">
      <c r="A182" t="s">
        <v>1360</v>
      </c>
      <c r="B182" t="s">
        <v>1361</v>
      </c>
      <c r="C182" t="s">
        <v>1277</v>
      </c>
      <c r="D182" s="522">
        <v>378237143</v>
      </c>
      <c r="E182" s="522">
        <v>378237143</v>
      </c>
      <c r="F182" s="522">
        <v>0</v>
      </c>
      <c r="G182" s="522">
        <v>0</v>
      </c>
      <c r="H182" t="s">
        <v>275</v>
      </c>
      <c r="I182" t="s">
        <v>865</v>
      </c>
      <c r="J182" t="s">
        <v>849</v>
      </c>
      <c r="K182" t="s">
        <v>850</v>
      </c>
      <c r="L182" t="s">
        <v>851</v>
      </c>
      <c r="M182" t="s">
        <v>852</v>
      </c>
    </row>
    <row r="183" spans="1:13" ht="15">
      <c r="A183" t="s">
        <v>1362</v>
      </c>
      <c r="B183" t="s">
        <v>1363</v>
      </c>
      <c r="C183" t="s">
        <v>1364</v>
      </c>
      <c r="D183" s="522">
        <v>977047939</v>
      </c>
      <c r="E183" s="522">
        <v>977047939</v>
      </c>
      <c r="F183" s="522">
        <v>0</v>
      </c>
      <c r="G183" s="522">
        <v>0</v>
      </c>
      <c r="H183" t="s">
        <v>275</v>
      </c>
      <c r="I183" t="s">
        <v>865</v>
      </c>
      <c r="J183" t="s">
        <v>849</v>
      </c>
      <c r="K183" t="s">
        <v>850</v>
      </c>
      <c r="L183" t="s">
        <v>851</v>
      </c>
      <c r="M183" t="s">
        <v>852</v>
      </c>
    </row>
    <row r="184" spans="1:13" ht="15">
      <c r="A184" t="s">
        <v>1365</v>
      </c>
      <c r="B184" t="s">
        <v>1366</v>
      </c>
      <c r="C184" t="s">
        <v>1367</v>
      </c>
      <c r="D184" s="522">
        <v>0</v>
      </c>
      <c r="E184" s="522">
        <v>0</v>
      </c>
      <c r="F184" s="522">
        <v>0</v>
      </c>
      <c r="G184" s="522">
        <v>0</v>
      </c>
      <c r="H184" t="s">
        <v>275</v>
      </c>
      <c r="I184" t="s">
        <v>865</v>
      </c>
      <c r="J184" t="s">
        <v>849</v>
      </c>
      <c r="K184" t="s">
        <v>850</v>
      </c>
      <c r="L184" t="s">
        <v>851</v>
      </c>
      <c r="M184" t="s">
        <v>852</v>
      </c>
    </row>
    <row r="185" spans="1:13" ht="15">
      <c r="A185" t="s">
        <v>1368</v>
      </c>
      <c r="B185" t="s">
        <v>1369</v>
      </c>
      <c r="C185" t="s">
        <v>1283</v>
      </c>
      <c r="D185" s="522">
        <v>0</v>
      </c>
      <c r="E185" s="522">
        <v>0</v>
      </c>
      <c r="F185" s="522">
        <v>0</v>
      </c>
      <c r="G185" s="522">
        <v>0</v>
      </c>
      <c r="H185" t="s">
        <v>275</v>
      </c>
      <c r="I185" t="s">
        <v>848</v>
      </c>
      <c r="J185" t="s">
        <v>849</v>
      </c>
      <c r="K185" t="s">
        <v>850</v>
      </c>
      <c r="L185" t="s">
        <v>851</v>
      </c>
      <c r="M185" t="s">
        <v>852</v>
      </c>
    </row>
    <row r="186" spans="1:13" ht="15">
      <c r="A186" t="s">
        <v>1370</v>
      </c>
      <c r="B186" t="s">
        <v>1371</v>
      </c>
      <c r="C186" t="s">
        <v>1285</v>
      </c>
      <c r="D186" s="522">
        <v>0</v>
      </c>
      <c r="E186" s="522">
        <v>0</v>
      </c>
      <c r="F186" s="522">
        <v>0</v>
      </c>
      <c r="G186" s="522">
        <v>0</v>
      </c>
      <c r="H186" t="s">
        <v>275</v>
      </c>
      <c r="I186" t="s">
        <v>848</v>
      </c>
      <c r="J186" t="s">
        <v>849</v>
      </c>
      <c r="K186" t="s">
        <v>850</v>
      </c>
      <c r="L186" t="s">
        <v>851</v>
      </c>
      <c r="M186" t="s">
        <v>852</v>
      </c>
    </row>
    <row r="187" spans="1:13" ht="15">
      <c r="A187" t="s">
        <v>1372</v>
      </c>
      <c r="B187" t="s">
        <v>1373</v>
      </c>
      <c r="C187" t="s">
        <v>1288</v>
      </c>
      <c r="D187" s="522">
        <v>54728194</v>
      </c>
      <c r="E187" s="522">
        <v>54728194</v>
      </c>
      <c r="F187" s="522">
        <v>0</v>
      </c>
      <c r="G187" s="522">
        <v>0</v>
      </c>
      <c r="H187" t="s">
        <v>275</v>
      </c>
      <c r="I187" t="s">
        <v>848</v>
      </c>
      <c r="J187" t="s">
        <v>849</v>
      </c>
      <c r="K187" t="s">
        <v>850</v>
      </c>
      <c r="L187" t="s">
        <v>851</v>
      </c>
      <c r="M187" t="s">
        <v>852</v>
      </c>
    </row>
    <row r="188" spans="1:13" ht="15">
      <c r="A188" t="s">
        <v>1374</v>
      </c>
      <c r="B188" t="s">
        <v>1375</v>
      </c>
      <c r="C188" t="s">
        <v>1291</v>
      </c>
      <c r="D188" s="522">
        <v>15023400</v>
      </c>
      <c r="E188" s="522">
        <v>15023400</v>
      </c>
      <c r="F188" s="522">
        <v>0</v>
      </c>
      <c r="G188" s="522">
        <v>0</v>
      </c>
      <c r="H188" t="s">
        <v>275</v>
      </c>
      <c r="I188" t="s">
        <v>865</v>
      </c>
      <c r="J188" t="s">
        <v>849</v>
      </c>
      <c r="K188" t="s">
        <v>850</v>
      </c>
      <c r="L188" t="s">
        <v>851</v>
      </c>
      <c r="M188" t="s">
        <v>852</v>
      </c>
    </row>
    <row r="189" spans="1:13" ht="15">
      <c r="A189" t="s">
        <v>1376</v>
      </c>
      <c r="B189" t="s">
        <v>1377</v>
      </c>
      <c r="C189" t="s">
        <v>1378</v>
      </c>
      <c r="D189" s="522">
        <v>0</v>
      </c>
      <c r="E189" s="522">
        <v>0</v>
      </c>
      <c r="F189" s="522">
        <v>0</v>
      </c>
      <c r="G189" s="522">
        <v>0</v>
      </c>
      <c r="H189" t="s">
        <v>275</v>
      </c>
      <c r="I189" t="s">
        <v>865</v>
      </c>
      <c r="J189" t="s">
        <v>849</v>
      </c>
      <c r="K189" t="s">
        <v>850</v>
      </c>
      <c r="L189" t="s">
        <v>851</v>
      </c>
      <c r="M189" t="s">
        <v>852</v>
      </c>
    </row>
    <row r="190" spans="1:13" ht="15">
      <c r="A190" t="s">
        <v>958</v>
      </c>
      <c r="B190" t="s">
        <v>1379</v>
      </c>
      <c r="C190" t="s">
        <v>1300</v>
      </c>
      <c r="D190" s="522">
        <v>0</v>
      </c>
      <c r="E190" s="522">
        <v>0</v>
      </c>
      <c r="F190" s="522">
        <v>0</v>
      </c>
      <c r="G190" s="522">
        <v>0</v>
      </c>
      <c r="H190" t="s">
        <v>275</v>
      </c>
      <c r="I190" t="s">
        <v>865</v>
      </c>
      <c r="J190" t="s">
        <v>849</v>
      </c>
      <c r="K190" t="s">
        <v>850</v>
      </c>
      <c r="L190" t="s">
        <v>851</v>
      </c>
      <c r="M190" t="s">
        <v>852</v>
      </c>
    </row>
    <row r="191" spans="1:13" ht="15">
      <c r="A191" t="s">
        <v>961</v>
      </c>
      <c r="B191" t="s">
        <v>1380</v>
      </c>
      <c r="C191" t="s">
        <v>1303</v>
      </c>
      <c r="D191" s="522">
        <v>61491526</v>
      </c>
      <c r="E191" s="522">
        <v>61491526</v>
      </c>
      <c r="F191" s="522">
        <v>0</v>
      </c>
      <c r="G191" s="522">
        <v>0</v>
      </c>
      <c r="H191" t="s">
        <v>275</v>
      </c>
      <c r="I191" t="s">
        <v>865</v>
      </c>
      <c r="J191" t="s">
        <v>849</v>
      </c>
      <c r="K191" t="s">
        <v>850</v>
      </c>
      <c r="L191" t="s">
        <v>851</v>
      </c>
      <c r="M191" t="s">
        <v>852</v>
      </c>
    </row>
    <row r="192" spans="1:13" ht="15">
      <c r="A192" t="s">
        <v>1381</v>
      </c>
      <c r="B192" t="s">
        <v>1382</v>
      </c>
      <c r="C192" t="s">
        <v>1383</v>
      </c>
      <c r="D192" s="522">
        <v>371908763</v>
      </c>
      <c r="E192" s="522">
        <v>371908763</v>
      </c>
      <c r="F192" s="522">
        <v>0</v>
      </c>
      <c r="G192" s="522">
        <v>0</v>
      </c>
      <c r="H192" t="s">
        <v>275</v>
      </c>
      <c r="I192" t="s">
        <v>865</v>
      </c>
      <c r="J192" t="s">
        <v>849</v>
      </c>
      <c r="K192" t="s">
        <v>850</v>
      </c>
      <c r="L192" t="s">
        <v>851</v>
      </c>
      <c r="M192" t="s">
        <v>852</v>
      </c>
    </row>
    <row r="193" spans="1:13" ht="15">
      <c r="A193" t="s">
        <v>1384</v>
      </c>
      <c r="B193" t="s">
        <v>1385</v>
      </c>
      <c r="C193" t="s">
        <v>1386</v>
      </c>
      <c r="D193" s="522">
        <v>49716546</v>
      </c>
      <c r="E193" s="522">
        <v>49716546</v>
      </c>
      <c r="F193" s="522">
        <v>0</v>
      </c>
      <c r="G193" s="522">
        <v>0</v>
      </c>
      <c r="H193" t="s">
        <v>275</v>
      </c>
      <c r="I193" t="s">
        <v>848</v>
      </c>
      <c r="J193" t="s">
        <v>849</v>
      </c>
      <c r="K193" t="s">
        <v>850</v>
      </c>
      <c r="L193" t="s">
        <v>851</v>
      </c>
      <c r="M193" t="s">
        <v>852</v>
      </c>
    </row>
    <row r="194" spans="1:13" ht="15">
      <c r="A194" t="s">
        <v>1387</v>
      </c>
      <c r="B194" t="s">
        <v>1388</v>
      </c>
      <c r="C194" t="s">
        <v>1389</v>
      </c>
      <c r="D194" s="522">
        <v>0</v>
      </c>
      <c r="E194" s="522">
        <v>0</v>
      </c>
      <c r="F194" s="522">
        <v>0</v>
      </c>
      <c r="G194" s="522">
        <v>0</v>
      </c>
      <c r="H194" t="s">
        <v>275</v>
      </c>
      <c r="I194" t="s">
        <v>865</v>
      </c>
      <c r="J194" t="s">
        <v>849</v>
      </c>
      <c r="K194" t="s">
        <v>850</v>
      </c>
      <c r="L194" t="s">
        <v>851</v>
      </c>
      <c r="M194" t="s">
        <v>852</v>
      </c>
    </row>
    <row r="195" spans="1:13" ht="15">
      <c r="A195" t="s">
        <v>1390</v>
      </c>
      <c r="B195" t="s">
        <v>1391</v>
      </c>
      <c r="C195" t="s">
        <v>1312</v>
      </c>
      <c r="D195" s="522">
        <v>0</v>
      </c>
      <c r="E195" s="522">
        <v>0</v>
      </c>
      <c r="F195" s="522">
        <v>0</v>
      </c>
      <c r="G195" s="522">
        <v>0</v>
      </c>
      <c r="H195" t="s">
        <v>275</v>
      </c>
      <c r="I195" t="s">
        <v>865</v>
      </c>
      <c r="J195" t="s">
        <v>849</v>
      </c>
      <c r="K195" t="s">
        <v>850</v>
      </c>
      <c r="L195" t="s">
        <v>851</v>
      </c>
      <c r="M195" t="s">
        <v>852</v>
      </c>
    </row>
    <row r="196" spans="1:13" ht="15">
      <c r="A196" t="s">
        <v>1392</v>
      </c>
      <c r="B196" t="s">
        <v>1393</v>
      </c>
      <c r="C196" t="s">
        <v>1394</v>
      </c>
      <c r="D196" s="522">
        <v>0</v>
      </c>
      <c r="E196" s="522">
        <v>0</v>
      </c>
      <c r="F196" s="522">
        <v>0</v>
      </c>
      <c r="G196" s="522">
        <v>0</v>
      </c>
      <c r="H196" t="s">
        <v>275</v>
      </c>
      <c r="I196" t="s">
        <v>848</v>
      </c>
      <c r="J196" t="s">
        <v>849</v>
      </c>
      <c r="K196" t="s">
        <v>850</v>
      </c>
      <c r="L196" t="s">
        <v>851</v>
      </c>
      <c r="M196" t="s">
        <v>852</v>
      </c>
    </row>
    <row r="197" spans="1:13" ht="15">
      <c r="A197" t="s">
        <v>1395</v>
      </c>
      <c r="B197" t="s">
        <v>1396</v>
      </c>
      <c r="C197" t="s">
        <v>1397</v>
      </c>
      <c r="D197" s="539">
        <v>36560640</v>
      </c>
      <c r="E197" s="539">
        <v>36560640</v>
      </c>
      <c r="F197" s="522">
        <v>0</v>
      </c>
      <c r="G197" s="522">
        <v>0</v>
      </c>
      <c r="H197" t="s">
        <v>275</v>
      </c>
      <c r="I197" t="s">
        <v>865</v>
      </c>
      <c r="J197" t="s">
        <v>849</v>
      </c>
      <c r="K197" t="s">
        <v>850</v>
      </c>
      <c r="L197" t="s">
        <v>851</v>
      </c>
      <c r="M197" t="s">
        <v>852</v>
      </c>
    </row>
    <row r="198" spans="1:13" ht="15">
      <c r="A198" t="s">
        <v>1398</v>
      </c>
      <c r="B198" t="s">
        <v>1399</v>
      </c>
      <c r="C198" t="s">
        <v>1316</v>
      </c>
      <c r="D198" s="522">
        <v>0</v>
      </c>
      <c r="E198" s="522">
        <v>0</v>
      </c>
      <c r="F198" s="522">
        <v>0</v>
      </c>
      <c r="G198" s="522">
        <v>0</v>
      </c>
      <c r="H198" t="s">
        <v>275</v>
      </c>
      <c r="I198" t="s">
        <v>865</v>
      </c>
      <c r="J198" t="s">
        <v>849</v>
      </c>
      <c r="K198" t="s">
        <v>850</v>
      </c>
      <c r="L198" t="s">
        <v>851</v>
      </c>
      <c r="M198" t="s">
        <v>852</v>
      </c>
    </row>
    <row r="199" spans="1:13" ht="15">
      <c r="A199" t="s">
        <v>1400</v>
      </c>
      <c r="B199" t="s">
        <v>1401</v>
      </c>
      <c r="C199" t="s">
        <v>1318</v>
      </c>
      <c r="D199" s="522">
        <v>1238490</v>
      </c>
      <c r="E199" s="522">
        <v>1238490</v>
      </c>
      <c r="F199" s="522">
        <v>0</v>
      </c>
      <c r="G199" s="522">
        <v>0</v>
      </c>
      <c r="H199" t="s">
        <v>275</v>
      </c>
      <c r="I199" t="s">
        <v>865</v>
      </c>
      <c r="J199" t="s">
        <v>849</v>
      </c>
      <c r="K199" t="s">
        <v>850</v>
      </c>
      <c r="L199" t="s">
        <v>851</v>
      </c>
      <c r="M199" t="s">
        <v>852</v>
      </c>
    </row>
    <row r="200" spans="1:13" ht="15">
      <c r="A200" t="s">
        <v>1402</v>
      </c>
      <c r="B200" t="s">
        <v>1403</v>
      </c>
      <c r="C200" t="s">
        <v>1404</v>
      </c>
      <c r="D200" s="522">
        <v>0</v>
      </c>
      <c r="E200" s="522">
        <v>0</v>
      </c>
      <c r="F200" s="522">
        <v>11305484972</v>
      </c>
      <c r="G200" s="522">
        <v>11305484972</v>
      </c>
      <c r="H200" t="s">
        <v>857</v>
      </c>
      <c r="I200" t="s">
        <v>848</v>
      </c>
      <c r="J200" t="s">
        <v>872</v>
      </c>
      <c r="K200" t="s">
        <v>850</v>
      </c>
      <c r="L200" t="s">
        <v>851</v>
      </c>
      <c r="M200" t="s">
        <v>852</v>
      </c>
    </row>
    <row r="201" spans="1:13" ht="15">
      <c r="A201" t="s">
        <v>964</v>
      </c>
      <c r="B201" t="s">
        <v>1405</v>
      </c>
      <c r="C201" t="s">
        <v>1406</v>
      </c>
      <c r="D201" s="522">
        <v>0</v>
      </c>
      <c r="E201" s="522">
        <v>0</v>
      </c>
      <c r="F201" s="522">
        <v>3028808092</v>
      </c>
      <c r="G201" s="522">
        <v>3028808092</v>
      </c>
      <c r="H201" t="s">
        <v>275</v>
      </c>
      <c r="I201" t="s">
        <v>865</v>
      </c>
      <c r="J201" t="s">
        <v>872</v>
      </c>
      <c r="K201" t="s">
        <v>850</v>
      </c>
      <c r="L201" t="s">
        <v>851</v>
      </c>
      <c r="M201" t="s">
        <v>852</v>
      </c>
    </row>
    <row r="202" spans="1:13" ht="15">
      <c r="A202" t="s">
        <v>967</v>
      </c>
      <c r="B202" t="s">
        <v>1407</v>
      </c>
      <c r="C202" t="s">
        <v>1408</v>
      </c>
      <c r="D202" s="522">
        <v>0</v>
      </c>
      <c r="E202" s="522">
        <v>0</v>
      </c>
      <c r="F202" s="522">
        <v>0</v>
      </c>
      <c r="G202" s="522">
        <v>0</v>
      </c>
      <c r="H202" t="s">
        <v>275</v>
      </c>
      <c r="I202" t="s">
        <v>865</v>
      </c>
      <c r="J202" t="s">
        <v>872</v>
      </c>
      <c r="K202" t="s">
        <v>850</v>
      </c>
      <c r="L202" t="s">
        <v>851</v>
      </c>
      <c r="M202" t="s">
        <v>852</v>
      </c>
    </row>
    <row r="203" spans="1:13" ht="15">
      <c r="A203" t="s">
        <v>970</v>
      </c>
      <c r="B203" t="s">
        <v>1409</v>
      </c>
      <c r="C203" t="s">
        <v>1410</v>
      </c>
      <c r="D203" s="522">
        <v>0</v>
      </c>
      <c r="E203" s="522">
        <v>0</v>
      </c>
      <c r="F203" s="522">
        <v>0</v>
      </c>
      <c r="G203" s="522">
        <v>0</v>
      </c>
      <c r="H203" t="s">
        <v>275</v>
      </c>
      <c r="I203" t="s">
        <v>865</v>
      </c>
      <c r="J203" t="s">
        <v>872</v>
      </c>
      <c r="K203" t="s">
        <v>850</v>
      </c>
      <c r="L203" t="s">
        <v>851</v>
      </c>
      <c r="M203" t="s">
        <v>852</v>
      </c>
    </row>
    <row r="204" spans="1:13" ht="15">
      <c r="A204" t="s">
        <v>973</v>
      </c>
      <c r="B204" t="s">
        <v>1411</v>
      </c>
      <c r="C204" t="s">
        <v>1412</v>
      </c>
      <c r="D204" s="522">
        <v>0</v>
      </c>
      <c r="E204" s="522">
        <v>0</v>
      </c>
      <c r="F204" s="522">
        <v>0</v>
      </c>
      <c r="G204" s="522">
        <v>0</v>
      </c>
      <c r="H204" t="s">
        <v>275</v>
      </c>
      <c r="I204" t="s">
        <v>865</v>
      </c>
      <c r="J204" t="s">
        <v>872</v>
      </c>
      <c r="K204" t="s">
        <v>850</v>
      </c>
      <c r="L204" t="s">
        <v>851</v>
      </c>
      <c r="M204" t="s">
        <v>852</v>
      </c>
    </row>
    <row r="205" spans="1:13" ht="15">
      <c r="A205" t="s">
        <v>1413</v>
      </c>
      <c r="B205" t="s">
        <v>1414</v>
      </c>
      <c r="C205" t="s">
        <v>1415</v>
      </c>
      <c r="D205" s="522">
        <v>0</v>
      </c>
      <c r="E205" s="522">
        <v>0</v>
      </c>
      <c r="F205" s="522">
        <v>0</v>
      </c>
      <c r="G205" s="522">
        <v>0</v>
      </c>
      <c r="H205" t="s">
        <v>275</v>
      </c>
      <c r="I205" t="s">
        <v>865</v>
      </c>
      <c r="J205" t="s">
        <v>872</v>
      </c>
      <c r="K205" t="s">
        <v>850</v>
      </c>
      <c r="L205" t="s">
        <v>851</v>
      </c>
      <c r="M205" t="s">
        <v>852</v>
      </c>
    </row>
    <row r="206" spans="1:13" ht="15">
      <c r="A206" t="s">
        <v>1416</v>
      </c>
      <c r="B206" t="s">
        <v>1417</v>
      </c>
      <c r="C206" t="s">
        <v>1418</v>
      </c>
      <c r="D206" s="522">
        <v>0</v>
      </c>
      <c r="E206" s="522">
        <v>0</v>
      </c>
      <c r="F206" s="522">
        <v>0</v>
      </c>
      <c r="G206" s="522">
        <v>0</v>
      </c>
      <c r="H206" t="s">
        <v>275</v>
      </c>
      <c r="I206" t="s">
        <v>865</v>
      </c>
      <c r="J206" t="s">
        <v>872</v>
      </c>
      <c r="K206" t="s">
        <v>850</v>
      </c>
      <c r="L206" t="s">
        <v>851</v>
      </c>
      <c r="M206" t="s">
        <v>852</v>
      </c>
    </row>
    <row r="207" spans="1:13" ht="15">
      <c r="A207" t="s">
        <v>1419</v>
      </c>
      <c r="B207" t="s">
        <v>1420</v>
      </c>
      <c r="C207" t="s">
        <v>1421</v>
      </c>
      <c r="D207" s="522">
        <v>0</v>
      </c>
      <c r="E207" s="522">
        <v>0</v>
      </c>
      <c r="F207" s="522">
        <v>2067841622</v>
      </c>
      <c r="G207" s="522">
        <v>2067841622</v>
      </c>
      <c r="H207" t="s">
        <v>275</v>
      </c>
      <c r="I207" t="s">
        <v>865</v>
      </c>
      <c r="J207" t="s">
        <v>872</v>
      </c>
      <c r="K207" t="s">
        <v>850</v>
      </c>
      <c r="L207" t="s">
        <v>851</v>
      </c>
      <c r="M207" t="s">
        <v>852</v>
      </c>
    </row>
    <row r="208" spans="1:13" ht="15">
      <c r="A208" t="s">
        <v>1422</v>
      </c>
      <c r="B208" t="s">
        <v>1423</v>
      </c>
      <c r="C208" t="s">
        <v>1424</v>
      </c>
      <c r="D208" s="522">
        <v>0</v>
      </c>
      <c r="E208" s="522">
        <v>0</v>
      </c>
      <c r="F208" s="522">
        <v>1611140464</v>
      </c>
      <c r="G208" s="522">
        <v>1611140464</v>
      </c>
      <c r="H208" t="s">
        <v>275</v>
      </c>
      <c r="I208" t="s">
        <v>865</v>
      </c>
      <c r="J208" t="s">
        <v>872</v>
      </c>
      <c r="K208" t="s">
        <v>850</v>
      </c>
      <c r="L208" t="s">
        <v>851</v>
      </c>
      <c r="M208" t="s">
        <v>852</v>
      </c>
    </row>
    <row r="209" spans="1:13" ht="15">
      <c r="A209" t="s">
        <v>1425</v>
      </c>
      <c r="B209" t="s">
        <v>1426</v>
      </c>
      <c r="C209" t="s">
        <v>1427</v>
      </c>
      <c r="D209" s="522">
        <v>0</v>
      </c>
      <c r="E209" s="522">
        <v>0</v>
      </c>
      <c r="F209" s="522">
        <v>983313027</v>
      </c>
      <c r="G209" s="522">
        <v>983313027</v>
      </c>
      <c r="H209" t="s">
        <v>275</v>
      </c>
      <c r="I209" t="s">
        <v>865</v>
      </c>
      <c r="J209" t="s">
        <v>872</v>
      </c>
      <c r="K209" t="s">
        <v>850</v>
      </c>
      <c r="L209" t="s">
        <v>851</v>
      </c>
      <c r="M209" t="s">
        <v>852</v>
      </c>
    </row>
    <row r="210" spans="1:13" ht="15">
      <c r="A210" t="s">
        <v>976</v>
      </c>
      <c r="B210" t="s">
        <v>1428</v>
      </c>
      <c r="C210" t="s">
        <v>1429</v>
      </c>
      <c r="D210" s="522">
        <v>0</v>
      </c>
      <c r="E210" s="522">
        <v>0</v>
      </c>
      <c r="F210" s="522">
        <v>0</v>
      </c>
      <c r="G210" s="522">
        <v>0</v>
      </c>
      <c r="H210" t="s">
        <v>275</v>
      </c>
      <c r="I210" t="s">
        <v>865</v>
      </c>
      <c r="J210" t="s">
        <v>872</v>
      </c>
      <c r="K210" t="s">
        <v>850</v>
      </c>
      <c r="L210" t="s">
        <v>851</v>
      </c>
      <c r="M210" t="s">
        <v>852</v>
      </c>
    </row>
    <row r="211" spans="1:13" ht="15">
      <c r="A211" t="s">
        <v>979</v>
      </c>
      <c r="B211" t="s">
        <v>1430</v>
      </c>
      <c r="C211" t="s">
        <v>1431</v>
      </c>
      <c r="D211" s="522">
        <v>0</v>
      </c>
      <c r="E211" s="522">
        <v>0</v>
      </c>
      <c r="F211" s="522">
        <v>0</v>
      </c>
      <c r="G211" s="522">
        <v>0</v>
      </c>
      <c r="H211" t="s">
        <v>275</v>
      </c>
      <c r="I211" t="s">
        <v>865</v>
      </c>
      <c r="J211" t="s">
        <v>872</v>
      </c>
      <c r="K211" t="s">
        <v>850</v>
      </c>
      <c r="L211" t="s">
        <v>851</v>
      </c>
      <c r="M211" t="s">
        <v>852</v>
      </c>
    </row>
    <row r="212" spans="1:13" ht="15">
      <c r="A212" t="s">
        <v>982</v>
      </c>
      <c r="B212" t="s">
        <v>1432</v>
      </c>
      <c r="C212" t="s">
        <v>1433</v>
      </c>
      <c r="D212" s="522">
        <v>0</v>
      </c>
      <c r="E212" s="522">
        <v>0</v>
      </c>
      <c r="F212" s="522">
        <v>0</v>
      </c>
      <c r="G212" s="522">
        <v>0</v>
      </c>
      <c r="H212" t="s">
        <v>275</v>
      </c>
      <c r="I212" t="s">
        <v>865</v>
      </c>
      <c r="J212" t="s">
        <v>872</v>
      </c>
      <c r="K212" t="s">
        <v>850</v>
      </c>
      <c r="L212" t="s">
        <v>851</v>
      </c>
      <c r="M212" t="s">
        <v>852</v>
      </c>
    </row>
    <row r="213" spans="1:13" ht="15">
      <c r="A213" t="s">
        <v>985</v>
      </c>
      <c r="B213" t="s">
        <v>1434</v>
      </c>
      <c r="C213" t="s">
        <v>1435</v>
      </c>
      <c r="D213" s="522">
        <v>0</v>
      </c>
      <c r="E213" s="522">
        <v>0</v>
      </c>
      <c r="F213" s="522">
        <v>0</v>
      </c>
      <c r="G213" s="522">
        <v>0</v>
      </c>
      <c r="H213" t="s">
        <v>275</v>
      </c>
      <c r="I213" t="s">
        <v>865</v>
      </c>
      <c r="J213" t="s">
        <v>872</v>
      </c>
      <c r="K213" t="s">
        <v>850</v>
      </c>
      <c r="L213" t="s">
        <v>851</v>
      </c>
      <c r="M213" t="s">
        <v>852</v>
      </c>
    </row>
    <row r="214" spans="1:13" ht="15">
      <c r="A214" t="s">
        <v>988</v>
      </c>
      <c r="B214" t="s">
        <v>1436</v>
      </c>
      <c r="C214" t="s">
        <v>1437</v>
      </c>
      <c r="D214" s="522">
        <v>0</v>
      </c>
      <c r="E214" s="522">
        <v>0</v>
      </c>
      <c r="F214" s="522">
        <v>1374718488</v>
      </c>
      <c r="G214" s="522">
        <v>1374718488</v>
      </c>
      <c r="H214" t="s">
        <v>275</v>
      </c>
      <c r="I214" t="s">
        <v>865</v>
      </c>
      <c r="J214" t="s">
        <v>872</v>
      </c>
      <c r="K214" t="s">
        <v>850</v>
      </c>
      <c r="L214" t="s">
        <v>851</v>
      </c>
      <c r="M214" t="s">
        <v>852</v>
      </c>
    </row>
    <row r="215" spans="1:13" ht="15">
      <c r="A215" t="s">
        <v>991</v>
      </c>
      <c r="B215" t="s">
        <v>1438</v>
      </c>
      <c r="C215" t="s">
        <v>1439</v>
      </c>
      <c r="D215" s="522">
        <v>0</v>
      </c>
      <c r="E215" s="522">
        <v>0</v>
      </c>
      <c r="F215" s="522">
        <v>2239663279</v>
      </c>
      <c r="G215" s="522">
        <v>2239663279</v>
      </c>
      <c r="H215" t="s">
        <v>275</v>
      </c>
      <c r="I215" t="s">
        <v>865</v>
      </c>
      <c r="J215" t="s">
        <v>872</v>
      </c>
      <c r="K215" t="s">
        <v>850</v>
      </c>
      <c r="L215" t="s">
        <v>851</v>
      </c>
      <c r="M215" t="s">
        <v>852</v>
      </c>
    </row>
    <row r="216" spans="1:13" ht="15">
      <c r="A216" t="s">
        <v>1440</v>
      </c>
      <c r="B216" t="s">
        <v>1441</v>
      </c>
      <c r="C216" t="s">
        <v>689</v>
      </c>
      <c r="D216" s="522">
        <v>0</v>
      </c>
      <c r="E216" s="522">
        <v>0</v>
      </c>
      <c r="F216" s="522">
        <v>0</v>
      </c>
      <c r="G216" s="522">
        <v>0</v>
      </c>
      <c r="H216" t="s">
        <v>275</v>
      </c>
      <c r="I216" t="s">
        <v>865</v>
      </c>
      <c r="J216" t="s">
        <v>872</v>
      </c>
      <c r="K216" t="s">
        <v>850</v>
      </c>
      <c r="L216" t="s">
        <v>851</v>
      </c>
      <c r="M216" t="s">
        <v>852</v>
      </c>
    </row>
    <row r="217" spans="1:13" ht="15">
      <c r="A217" t="s">
        <v>994</v>
      </c>
      <c r="B217" t="s">
        <v>1442</v>
      </c>
      <c r="C217" t="s">
        <v>1443</v>
      </c>
      <c r="D217" s="522">
        <v>52608265173</v>
      </c>
      <c r="E217" s="522">
        <v>52608265173</v>
      </c>
      <c r="F217" s="522">
        <v>0</v>
      </c>
      <c r="G217" s="522">
        <v>0</v>
      </c>
      <c r="H217" t="s">
        <v>857</v>
      </c>
      <c r="I217" t="s">
        <v>848</v>
      </c>
      <c r="J217" t="s">
        <v>849</v>
      </c>
      <c r="K217" t="s">
        <v>850</v>
      </c>
      <c r="L217" t="s">
        <v>851</v>
      </c>
      <c r="M217" t="s">
        <v>852</v>
      </c>
    </row>
    <row r="218" spans="1:13" ht="15">
      <c r="A218" t="s">
        <v>997</v>
      </c>
      <c r="B218" t="s">
        <v>1444</v>
      </c>
      <c r="C218" t="s">
        <v>1445</v>
      </c>
      <c r="D218" s="522">
        <v>0</v>
      </c>
      <c r="E218" s="522">
        <v>0</v>
      </c>
      <c r="F218" s="522">
        <v>0</v>
      </c>
      <c r="G218" s="522">
        <v>0</v>
      </c>
      <c r="H218" t="s">
        <v>275</v>
      </c>
      <c r="I218" t="s">
        <v>865</v>
      </c>
      <c r="J218" t="s">
        <v>849</v>
      </c>
      <c r="K218" t="s">
        <v>850</v>
      </c>
      <c r="L218" t="s">
        <v>851</v>
      </c>
      <c r="M218" t="s">
        <v>852</v>
      </c>
    </row>
    <row r="219" spans="1:13" ht="15">
      <c r="A219" t="s">
        <v>1000</v>
      </c>
      <c r="B219" t="s">
        <v>1446</v>
      </c>
      <c r="C219" t="s">
        <v>1447</v>
      </c>
      <c r="D219" s="522">
        <v>0</v>
      </c>
      <c r="E219" s="522">
        <v>0</v>
      </c>
      <c r="F219" s="522">
        <v>0</v>
      </c>
      <c r="G219" s="522">
        <v>0</v>
      </c>
      <c r="H219" t="s">
        <v>275</v>
      </c>
      <c r="I219" t="s">
        <v>865</v>
      </c>
      <c r="J219" t="s">
        <v>849</v>
      </c>
      <c r="K219" t="s">
        <v>850</v>
      </c>
      <c r="L219" t="s">
        <v>851</v>
      </c>
      <c r="M219" t="s">
        <v>852</v>
      </c>
    </row>
    <row r="220" spans="1:13" ht="15">
      <c r="A220" t="s">
        <v>1448</v>
      </c>
      <c r="B220" t="s">
        <v>1449</v>
      </c>
      <c r="C220" t="s">
        <v>1450</v>
      </c>
      <c r="D220" s="522">
        <v>0</v>
      </c>
      <c r="E220" s="522">
        <v>0</v>
      </c>
      <c r="F220" s="522">
        <v>0</v>
      </c>
      <c r="G220" s="522">
        <v>0</v>
      </c>
      <c r="H220" t="s">
        <v>275</v>
      </c>
      <c r="I220" t="s">
        <v>865</v>
      </c>
      <c r="J220" t="s">
        <v>849</v>
      </c>
      <c r="K220" t="s">
        <v>850</v>
      </c>
      <c r="L220" t="s">
        <v>851</v>
      </c>
      <c r="M220" t="s">
        <v>852</v>
      </c>
    </row>
    <row r="221" spans="1:13" ht="15">
      <c r="A221" t="s">
        <v>1003</v>
      </c>
      <c r="B221" t="s">
        <v>1451</v>
      </c>
      <c r="C221" t="s">
        <v>1452</v>
      </c>
      <c r="D221" s="522">
        <v>0</v>
      </c>
      <c r="E221" s="522">
        <v>0</v>
      </c>
      <c r="F221" s="522">
        <v>0</v>
      </c>
      <c r="G221" s="522">
        <v>0</v>
      </c>
      <c r="H221" t="s">
        <v>275</v>
      </c>
      <c r="I221" t="s">
        <v>865</v>
      </c>
      <c r="J221" t="s">
        <v>849</v>
      </c>
      <c r="K221" t="s">
        <v>850</v>
      </c>
      <c r="L221" t="s">
        <v>851</v>
      </c>
      <c r="M221" t="s">
        <v>852</v>
      </c>
    </row>
    <row r="222" spans="1:13" ht="15">
      <c r="A222" t="s">
        <v>1453</v>
      </c>
      <c r="B222" t="s">
        <v>1454</v>
      </c>
      <c r="C222" t="s">
        <v>1455</v>
      </c>
      <c r="D222" s="522">
        <v>0</v>
      </c>
      <c r="E222" s="522">
        <v>0</v>
      </c>
      <c r="F222" s="522">
        <v>0</v>
      </c>
      <c r="G222" s="522">
        <v>0</v>
      </c>
      <c r="H222" t="s">
        <v>275</v>
      </c>
      <c r="I222" t="s">
        <v>865</v>
      </c>
      <c r="J222" t="s">
        <v>849</v>
      </c>
      <c r="K222" t="s">
        <v>850</v>
      </c>
      <c r="L222" t="s">
        <v>851</v>
      </c>
      <c r="M222" t="s">
        <v>852</v>
      </c>
    </row>
    <row r="223" spans="1:13" ht="15">
      <c r="A223" t="s">
        <v>1456</v>
      </c>
      <c r="B223" t="s">
        <v>1457</v>
      </c>
      <c r="C223" t="s">
        <v>1277</v>
      </c>
      <c r="D223" s="522">
        <v>0</v>
      </c>
      <c r="E223" s="522">
        <v>0</v>
      </c>
      <c r="F223" s="522">
        <v>0</v>
      </c>
      <c r="G223" s="522">
        <v>0</v>
      </c>
      <c r="H223" t="s">
        <v>275</v>
      </c>
      <c r="I223" t="s">
        <v>865</v>
      </c>
      <c r="J223" t="s">
        <v>849</v>
      </c>
      <c r="K223" t="s">
        <v>850</v>
      </c>
      <c r="L223" t="s">
        <v>851</v>
      </c>
      <c r="M223" t="s">
        <v>852</v>
      </c>
    </row>
    <row r="224" spans="1:13" ht="15">
      <c r="A224" t="s">
        <v>1458</v>
      </c>
      <c r="B224" t="s">
        <v>1459</v>
      </c>
      <c r="C224" t="s">
        <v>1460</v>
      </c>
      <c r="D224" s="522">
        <v>0</v>
      </c>
      <c r="E224" s="522">
        <v>0</v>
      </c>
      <c r="F224" s="522">
        <v>0</v>
      </c>
      <c r="G224" s="522">
        <v>0</v>
      </c>
      <c r="H224" t="s">
        <v>275</v>
      </c>
      <c r="I224" t="s">
        <v>865</v>
      </c>
      <c r="J224" t="s">
        <v>849</v>
      </c>
      <c r="K224" t="s">
        <v>850</v>
      </c>
      <c r="L224" t="s">
        <v>851</v>
      </c>
      <c r="M224" t="s">
        <v>852</v>
      </c>
    </row>
    <row r="225" spans="1:13" ht="15">
      <c r="A225" t="s">
        <v>1461</v>
      </c>
      <c r="B225" t="s">
        <v>1462</v>
      </c>
      <c r="C225" t="s">
        <v>1463</v>
      </c>
      <c r="D225" s="522">
        <v>0</v>
      </c>
      <c r="E225" s="522">
        <v>0</v>
      </c>
      <c r="F225" s="522">
        <v>0</v>
      </c>
      <c r="G225" s="522">
        <v>0</v>
      </c>
      <c r="H225" t="s">
        <v>275</v>
      </c>
      <c r="I225" t="s">
        <v>865</v>
      </c>
      <c r="J225" t="s">
        <v>849</v>
      </c>
      <c r="K225" t="s">
        <v>850</v>
      </c>
      <c r="L225" t="s">
        <v>851</v>
      </c>
      <c r="M225" t="s">
        <v>852</v>
      </c>
    </row>
    <row r="226" spans="1:13" ht="15">
      <c r="A226" t="s">
        <v>1464</v>
      </c>
      <c r="B226" t="s">
        <v>1465</v>
      </c>
      <c r="C226" t="s">
        <v>1466</v>
      </c>
      <c r="D226" s="522">
        <v>-562871553</v>
      </c>
      <c r="E226" s="522">
        <v>-562871553</v>
      </c>
      <c r="F226" s="522">
        <v>0</v>
      </c>
      <c r="G226" s="522">
        <v>0</v>
      </c>
      <c r="H226" t="s">
        <v>275</v>
      </c>
      <c r="I226" t="s">
        <v>865</v>
      </c>
      <c r="J226" t="s">
        <v>849</v>
      </c>
      <c r="K226" t="s">
        <v>850</v>
      </c>
      <c r="L226" t="s">
        <v>851</v>
      </c>
      <c r="M226" t="s">
        <v>852</v>
      </c>
    </row>
    <row r="227" spans="1:13" ht="15">
      <c r="A227" t="s">
        <v>1467</v>
      </c>
      <c r="B227" t="s">
        <v>1468</v>
      </c>
      <c r="C227" t="s">
        <v>1469</v>
      </c>
      <c r="D227" s="522">
        <v>0</v>
      </c>
      <c r="E227" s="522">
        <v>0</v>
      </c>
      <c r="F227" s="522">
        <v>0</v>
      </c>
      <c r="G227" s="522">
        <v>0</v>
      </c>
      <c r="H227" t="s">
        <v>275</v>
      </c>
      <c r="I227" t="s">
        <v>865</v>
      </c>
      <c r="J227" t="s">
        <v>849</v>
      </c>
      <c r="K227" t="s">
        <v>850</v>
      </c>
      <c r="L227" t="s">
        <v>851</v>
      </c>
      <c r="M227" t="s">
        <v>852</v>
      </c>
    </row>
    <row r="228" spans="1:13" ht="15">
      <c r="A228" t="s">
        <v>1470</v>
      </c>
      <c r="B228" t="s">
        <v>1471</v>
      </c>
      <c r="C228" t="s">
        <v>1472</v>
      </c>
      <c r="D228" s="522">
        <v>0</v>
      </c>
      <c r="E228" s="522">
        <v>0</v>
      </c>
      <c r="F228" s="522">
        <v>0</v>
      </c>
      <c r="G228" s="522">
        <v>0</v>
      </c>
      <c r="H228" t="s">
        <v>275</v>
      </c>
      <c r="I228" t="s">
        <v>865</v>
      </c>
      <c r="J228" t="s">
        <v>849</v>
      </c>
      <c r="K228" t="s">
        <v>850</v>
      </c>
      <c r="L228" t="s">
        <v>851</v>
      </c>
      <c r="M228" t="s">
        <v>852</v>
      </c>
    </row>
    <row r="229" spans="1:13" ht="15">
      <c r="A229" t="s">
        <v>1473</v>
      </c>
      <c r="B229" t="s">
        <v>1474</v>
      </c>
      <c r="C229" t="s">
        <v>1475</v>
      </c>
      <c r="D229" s="522">
        <v>0</v>
      </c>
      <c r="E229" s="522">
        <v>0</v>
      </c>
      <c r="F229" s="522">
        <v>0</v>
      </c>
      <c r="G229" s="522">
        <v>0</v>
      </c>
      <c r="H229" t="s">
        <v>275</v>
      </c>
      <c r="I229" t="s">
        <v>865</v>
      </c>
      <c r="J229" t="s">
        <v>849</v>
      </c>
      <c r="K229" t="s">
        <v>850</v>
      </c>
      <c r="L229" t="s">
        <v>851</v>
      </c>
      <c r="M229" t="s">
        <v>852</v>
      </c>
    </row>
    <row r="230" spans="1:13" ht="15">
      <c r="A230" t="s">
        <v>1476</v>
      </c>
      <c r="B230" t="s">
        <v>1477</v>
      </c>
      <c r="C230" t="s">
        <v>1478</v>
      </c>
      <c r="D230" s="522">
        <v>0</v>
      </c>
      <c r="E230" s="522">
        <v>0</v>
      </c>
      <c r="F230" s="522">
        <v>0</v>
      </c>
      <c r="G230" s="522">
        <v>0</v>
      </c>
      <c r="H230" t="s">
        <v>275</v>
      </c>
      <c r="I230" t="s">
        <v>865</v>
      </c>
      <c r="J230" t="s">
        <v>849</v>
      </c>
      <c r="K230" t="s">
        <v>850</v>
      </c>
      <c r="L230" t="s">
        <v>851</v>
      </c>
      <c r="M230" t="s">
        <v>852</v>
      </c>
    </row>
    <row r="231" spans="1:13" ht="15">
      <c r="A231" t="s">
        <v>1479</v>
      </c>
      <c r="B231" t="s">
        <v>1480</v>
      </c>
      <c r="C231" t="s">
        <v>1481</v>
      </c>
      <c r="D231" s="522">
        <v>0</v>
      </c>
      <c r="E231" s="522">
        <v>0</v>
      </c>
      <c r="F231" s="522">
        <v>0</v>
      </c>
      <c r="G231" s="522">
        <v>0</v>
      </c>
      <c r="H231" t="s">
        <v>275</v>
      </c>
      <c r="I231" t="s">
        <v>865</v>
      </c>
      <c r="J231" t="s">
        <v>849</v>
      </c>
      <c r="K231" t="s">
        <v>850</v>
      </c>
      <c r="L231" t="s">
        <v>851</v>
      </c>
      <c r="M231" t="s">
        <v>852</v>
      </c>
    </row>
    <row r="232" spans="1:13" ht="15">
      <c r="A232" t="s">
        <v>1006</v>
      </c>
      <c r="B232" t="s">
        <v>1482</v>
      </c>
      <c r="C232" t="s">
        <v>696</v>
      </c>
      <c r="D232" s="522">
        <v>52928882894</v>
      </c>
      <c r="E232" s="522">
        <v>52928882894</v>
      </c>
      <c r="F232" s="522">
        <v>0</v>
      </c>
      <c r="G232" s="522">
        <v>0</v>
      </c>
      <c r="H232" t="s">
        <v>275</v>
      </c>
      <c r="I232" t="s">
        <v>865</v>
      </c>
      <c r="J232" t="s">
        <v>849</v>
      </c>
      <c r="K232" t="s">
        <v>850</v>
      </c>
      <c r="L232" t="s">
        <v>851</v>
      </c>
      <c r="M232" t="s">
        <v>852</v>
      </c>
    </row>
    <row r="233" spans="1:13" ht="15">
      <c r="A233" t="s">
        <v>1483</v>
      </c>
      <c r="B233" t="s">
        <v>1484</v>
      </c>
      <c r="C233" t="s">
        <v>1485</v>
      </c>
      <c r="D233" s="522">
        <v>0</v>
      </c>
      <c r="E233" s="522">
        <v>0</v>
      </c>
      <c r="F233" s="522">
        <v>0</v>
      </c>
      <c r="G233" s="522">
        <v>0</v>
      </c>
      <c r="H233" t="s">
        <v>275</v>
      </c>
      <c r="I233" t="s">
        <v>865</v>
      </c>
      <c r="J233" t="s">
        <v>849</v>
      </c>
      <c r="K233" t="s">
        <v>850</v>
      </c>
      <c r="L233" t="s">
        <v>851</v>
      </c>
      <c r="M233" t="s">
        <v>852</v>
      </c>
    </row>
    <row r="234" spans="1:13" ht="15">
      <c r="A234" t="s">
        <v>1486</v>
      </c>
      <c r="B234" t="s">
        <v>1487</v>
      </c>
      <c r="C234" t="s">
        <v>1488</v>
      </c>
      <c r="D234" s="522">
        <v>242253832</v>
      </c>
      <c r="E234" s="522">
        <v>242253832</v>
      </c>
      <c r="F234" s="522">
        <v>0</v>
      </c>
      <c r="G234" s="522">
        <v>0</v>
      </c>
      <c r="H234" t="s">
        <v>275</v>
      </c>
      <c r="I234" t="s">
        <v>865</v>
      </c>
      <c r="J234" t="s">
        <v>849</v>
      </c>
      <c r="K234" t="s">
        <v>850</v>
      </c>
      <c r="L234" t="s">
        <v>851</v>
      </c>
      <c r="M234" t="s">
        <v>852</v>
      </c>
    </row>
    <row r="235" spans="1:13" ht="15">
      <c r="A235" t="s">
        <v>1489</v>
      </c>
      <c r="B235" t="s">
        <v>1490</v>
      </c>
      <c r="C235" t="s">
        <v>1491</v>
      </c>
      <c r="D235" s="522">
        <v>0</v>
      </c>
      <c r="E235" s="522">
        <v>0</v>
      </c>
      <c r="F235" s="522">
        <v>63189792</v>
      </c>
      <c r="G235" s="522">
        <v>63189792</v>
      </c>
      <c r="H235" t="s">
        <v>857</v>
      </c>
      <c r="I235" t="s">
        <v>848</v>
      </c>
      <c r="J235" t="s">
        <v>872</v>
      </c>
      <c r="K235" t="s">
        <v>850</v>
      </c>
      <c r="L235" t="s">
        <v>851</v>
      </c>
      <c r="M235" t="s">
        <v>852</v>
      </c>
    </row>
    <row r="236" spans="1:13" ht="15">
      <c r="A236" t="s">
        <v>1492</v>
      </c>
      <c r="B236" t="s">
        <v>1493</v>
      </c>
      <c r="C236" t="s">
        <v>1494</v>
      </c>
      <c r="D236" s="522">
        <v>0</v>
      </c>
      <c r="E236" s="522">
        <v>0</v>
      </c>
      <c r="F236" s="522">
        <v>63189792</v>
      </c>
      <c r="G236" s="522">
        <v>63189792</v>
      </c>
      <c r="H236" t="s">
        <v>275</v>
      </c>
      <c r="I236" t="s">
        <v>865</v>
      </c>
      <c r="J236" t="s">
        <v>872</v>
      </c>
      <c r="K236" t="s">
        <v>850</v>
      </c>
      <c r="L236" t="s">
        <v>851</v>
      </c>
      <c r="M236" t="s">
        <v>852</v>
      </c>
    </row>
    <row r="237" spans="1:13" ht="15">
      <c r="A237" t="s">
        <v>1495</v>
      </c>
      <c r="B237" t="s">
        <v>1496</v>
      </c>
      <c r="C237" t="s">
        <v>1497</v>
      </c>
      <c r="D237" s="522">
        <v>0</v>
      </c>
      <c r="E237" s="522">
        <v>0</v>
      </c>
      <c r="F237" s="522">
        <v>0</v>
      </c>
      <c r="G237" s="522">
        <v>0</v>
      </c>
      <c r="H237" t="s">
        <v>275</v>
      </c>
      <c r="I237" t="s">
        <v>865</v>
      </c>
      <c r="J237" t="s">
        <v>872</v>
      </c>
      <c r="K237" t="s">
        <v>850</v>
      </c>
      <c r="L237" t="s">
        <v>851</v>
      </c>
      <c r="M237" t="s">
        <v>852</v>
      </c>
    </row>
    <row r="238" spans="1:13" ht="15">
      <c r="A238" t="s">
        <v>1498</v>
      </c>
      <c r="B238" t="s">
        <v>1499</v>
      </c>
      <c r="C238" t="s">
        <v>1500</v>
      </c>
      <c r="D238" s="522">
        <v>0</v>
      </c>
      <c r="E238" s="522">
        <v>0</v>
      </c>
      <c r="F238" s="522">
        <v>0</v>
      </c>
      <c r="G238" s="522">
        <v>0</v>
      </c>
      <c r="H238" t="s">
        <v>275</v>
      </c>
      <c r="I238" t="s">
        <v>865</v>
      </c>
      <c r="J238" t="s">
        <v>872</v>
      </c>
      <c r="K238" t="s">
        <v>850</v>
      </c>
      <c r="L238" t="s">
        <v>851</v>
      </c>
      <c r="M238" t="s">
        <v>852</v>
      </c>
    </row>
    <row r="239" spans="1:13" ht="15">
      <c r="A239" t="s">
        <v>1501</v>
      </c>
      <c r="B239" t="s">
        <v>1502</v>
      </c>
      <c r="C239" t="s">
        <v>1503</v>
      </c>
      <c r="D239" s="522">
        <v>0</v>
      </c>
      <c r="E239" s="522">
        <v>0</v>
      </c>
      <c r="F239" s="522">
        <v>0</v>
      </c>
      <c r="G239" s="522">
        <v>0</v>
      </c>
      <c r="H239" t="s">
        <v>275</v>
      </c>
      <c r="I239" t="s">
        <v>865</v>
      </c>
      <c r="J239" t="s">
        <v>872</v>
      </c>
      <c r="K239" t="s">
        <v>850</v>
      </c>
      <c r="L239" t="s">
        <v>851</v>
      </c>
      <c r="M239" t="s">
        <v>852</v>
      </c>
    </row>
    <row r="240" spans="1:13" ht="15">
      <c r="A240" t="s">
        <v>1504</v>
      </c>
      <c r="B240" t="s">
        <v>1505</v>
      </c>
      <c r="C240" t="s">
        <v>1506</v>
      </c>
      <c r="D240" s="522">
        <v>0</v>
      </c>
      <c r="E240" s="522">
        <v>0</v>
      </c>
      <c r="F240" s="522">
        <v>0</v>
      </c>
      <c r="G240" s="522">
        <v>0</v>
      </c>
      <c r="H240" t="s">
        <v>275</v>
      </c>
      <c r="I240" t="s">
        <v>865</v>
      </c>
      <c r="J240" t="s">
        <v>872</v>
      </c>
      <c r="K240" t="s">
        <v>850</v>
      </c>
      <c r="L240" t="s">
        <v>851</v>
      </c>
      <c r="M240" t="s">
        <v>852</v>
      </c>
    </row>
    <row r="241" spans="1:13" ht="15">
      <c r="A241" t="s">
        <v>1507</v>
      </c>
      <c r="B241" t="s">
        <v>1508</v>
      </c>
      <c r="C241" t="s">
        <v>1509</v>
      </c>
      <c r="D241" s="522">
        <v>0</v>
      </c>
      <c r="E241" s="522">
        <v>0</v>
      </c>
      <c r="F241" s="522">
        <v>0</v>
      </c>
      <c r="G241" s="522">
        <v>0</v>
      </c>
      <c r="H241" t="s">
        <v>275</v>
      </c>
      <c r="I241" t="s">
        <v>865</v>
      </c>
      <c r="J241" t="s">
        <v>872</v>
      </c>
      <c r="K241" t="s">
        <v>850</v>
      </c>
      <c r="L241" t="s">
        <v>851</v>
      </c>
      <c r="M241" t="s">
        <v>852</v>
      </c>
    </row>
    <row r="242" spans="1:13" ht="15">
      <c r="A242" t="s">
        <v>1009</v>
      </c>
      <c r="B242" t="s">
        <v>1510</v>
      </c>
      <c r="C242" t="s">
        <v>1511</v>
      </c>
      <c r="D242" s="522">
        <v>0</v>
      </c>
      <c r="E242" s="522">
        <v>0</v>
      </c>
      <c r="F242" s="522">
        <v>0</v>
      </c>
      <c r="G242" s="522">
        <v>0</v>
      </c>
      <c r="H242" t="s">
        <v>857</v>
      </c>
      <c r="I242" t="s">
        <v>848</v>
      </c>
      <c r="J242" t="s">
        <v>849</v>
      </c>
      <c r="K242" t="s">
        <v>850</v>
      </c>
      <c r="L242" t="s">
        <v>851</v>
      </c>
      <c r="M242" t="s">
        <v>852</v>
      </c>
    </row>
    <row r="243" spans="1:13" ht="15">
      <c r="A243" t="s">
        <v>1012</v>
      </c>
      <c r="B243" t="s">
        <v>1512</v>
      </c>
      <c r="C243" t="s">
        <v>1513</v>
      </c>
      <c r="D243" s="522">
        <v>0</v>
      </c>
      <c r="E243" s="522">
        <v>0</v>
      </c>
      <c r="F243" s="522">
        <v>0</v>
      </c>
      <c r="G243" s="522">
        <v>0</v>
      </c>
      <c r="H243" t="s">
        <v>275</v>
      </c>
      <c r="I243" t="s">
        <v>865</v>
      </c>
      <c r="J243" t="s">
        <v>849</v>
      </c>
      <c r="K243" t="s">
        <v>850</v>
      </c>
      <c r="L243" t="s">
        <v>851</v>
      </c>
      <c r="M243" t="s">
        <v>852</v>
      </c>
    </row>
    <row r="244" spans="1:13" ht="15">
      <c r="A244" t="s">
        <v>1015</v>
      </c>
      <c r="B244" t="s">
        <v>1514</v>
      </c>
      <c r="C244" t="s">
        <v>1515</v>
      </c>
      <c r="D244" s="522">
        <v>0</v>
      </c>
      <c r="E244" s="522">
        <v>0</v>
      </c>
      <c r="F244" s="522">
        <v>0</v>
      </c>
      <c r="G244" s="522">
        <v>0</v>
      </c>
      <c r="H244" t="s">
        <v>275</v>
      </c>
      <c r="I244" t="s">
        <v>865</v>
      </c>
      <c r="J244" t="s">
        <v>849</v>
      </c>
      <c r="K244" t="s">
        <v>850</v>
      </c>
      <c r="L244" t="s">
        <v>851</v>
      </c>
      <c r="M244" t="s">
        <v>852</v>
      </c>
    </row>
    <row r="245" spans="1:13" ht="15">
      <c r="A245" t="s">
        <v>1018</v>
      </c>
      <c r="B245" t="s">
        <v>1516</v>
      </c>
      <c r="C245" t="s">
        <v>1517</v>
      </c>
      <c r="D245" s="522">
        <v>0</v>
      </c>
      <c r="E245" s="522">
        <v>0</v>
      </c>
      <c r="F245" s="522">
        <v>0</v>
      </c>
      <c r="G245" s="522">
        <v>0</v>
      </c>
      <c r="H245" t="s">
        <v>275</v>
      </c>
      <c r="I245" t="s">
        <v>865</v>
      </c>
      <c r="J245" t="s">
        <v>849</v>
      </c>
      <c r="K245" t="s">
        <v>850</v>
      </c>
      <c r="L245" t="s">
        <v>851</v>
      </c>
      <c r="M245" t="s">
        <v>852</v>
      </c>
    </row>
    <row r="246" spans="1:13" ht="15">
      <c r="A246" t="s">
        <v>1021</v>
      </c>
      <c r="B246" t="s">
        <v>1518</v>
      </c>
      <c r="C246" t="s">
        <v>1519</v>
      </c>
      <c r="D246" s="522">
        <v>0</v>
      </c>
      <c r="E246" s="522">
        <v>0</v>
      </c>
      <c r="F246" s="522">
        <v>0</v>
      </c>
      <c r="G246" s="522">
        <v>0</v>
      </c>
      <c r="H246" t="s">
        <v>275</v>
      </c>
      <c r="I246" t="s">
        <v>865</v>
      </c>
      <c r="J246" t="s">
        <v>849</v>
      </c>
      <c r="K246" t="s">
        <v>850</v>
      </c>
      <c r="L246" t="s">
        <v>851</v>
      </c>
      <c r="M246" t="s">
        <v>852</v>
      </c>
    </row>
    <row r="247" spans="1:13" ht="15">
      <c r="A247" t="s">
        <v>1024</v>
      </c>
      <c r="B247" t="s">
        <v>1520</v>
      </c>
      <c r="C247" t="s">
        <v>1521</v>
      </c>
      <c r="D247" s="522">
        <v>0</v>
      </c>
      <c r="E247" s="522">
        <v>0</v>
      </c>
      <c r="F247" s="522">
        <v>0</v>
      </c>
      <c r="G247" s="522">
        <v>0</v>
      </c>
      <c r="H247" t="s">
        <v>275</v>
      </c>
      <c r="I247" t="s">
        <v>865</v>
      </c>
      <c r="J247" t="s">
        <v>849</v>
      </c>
      <c r="K247" t="s">
        <v>850</v>
      </c>
      <c r="L247" t="s">
        <v>851</v>
      </c>
      <c r="M247" t="s">
        <v>852</v>
      </c>
    </row>
    <row r="248" spans="1:13" ht="15">
      <c r="A248" t="s">
        <v>1027</v>
      </c>
      <c r="B248" t="s">
        <v>1522</v>
      </c>
      <c r="C248" t="s">
        <v>1523</v>
      </c>
      <c r="D248" s="522">
        <v>0</v>
      </c>
      <c r="E248" s="522">
        <v>0</v>
      </c>
      <c r="F248" s="522">
        <v>0</v>
      </c>
      <c r="G248" s="522">
        <v>0</v>
      </c>
      <c r="H248" t="s">
        <v>857</v>
      </c>
      <c r="I248" t="s">
        <v>848</v>
      </c>
      <c r="J248" t="s">
        <v>849</v>
      </c>
      <c r="K248" t="s">
        <v>850</v>
      </c>
      <c r="L248" t="s">
        <v>851</v>
      </c>
      <c r="M248" t="s">
        <v>852</v>
      </c>
    </row>
    <row r="249" spans="1:13" ht="15">
      <c r="A249" t="s">
        <v>1030</v>
      </c>
      <c r="B249" t="s">
        <v>1524</v>
      </c>
      <c r="C249" t="s">
        <v>1525</v>
      </c>
      <c r="D249" s="522">
        <v>0</v>
      </c>
      <c r="E249" s="522">
        <v>0</v>
      </c>
      <c r="F249" s="522">
        <v>0</v>
      </c>
      <c r="G249" s="522">
        <v>0</v>
      </c>
      <c r="H249" t="s">
        <v>275</v>
      </c>
      <c r="I249" t="s">
        <v>865</v>
      </c>
      <c r="J249" t="s">
        <v>849</v>
      </c>
      <c r="K249" t="s">
        <v>850</v>
      </c>
      <c r="L249" t="s">
        <v>851</v>
      </c>
      <c r="M249" t="s">
        <v>852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view="pageBreakPreview" zoomScale="90" zoomScaleSheetLayoutView="90" zoomScalePageLayoutView="0" workbookViewId="0" topLeftCell="A13">
      <selection activeCell="K19" sqref="K19"/>
    </sheetView>
  </sheetViews>
  <sheetFormatPr defaultColWidth="9.00390625" defaultRowHeight="14.25"/>
  <cols>
    <col min="1" max="1" width="15.375" style="61" customWidth="1"/>
    <col min="2" max="2" width="12.50390625" style="61" customWidth="1"/>
    <col min="3" max="3" width="17.50390625" style="61" bestFit="1" customWidth="1"/>
    <col min="4" max="4" width="12.375" style="61" customWidth="1"/>
    <col min="5" max="5" width="7.375" style="61" customWidth="1"/>
    <col min="6" max="6" width="39.625" style="61" customWidth="1"/>
    <col min="7" max="7" width="15.375" style="61" customWidth="1"/>
    <col min="8" max="9" width="13.00390625" style="61" customWidth="1"/>
    <col min="10" max="10" width="12.75390625" style="61" customWidth="1"/>
    <col min="11" max="11" width="11.25390625" style="61" customWidth="1"/>
    <col min="12" max="12" width="7.375" style="61" customWidth="1"/>
    <col min="13" max="13" width="46.50390625" style="427" customWidth="1"/>
    <col min="14" max="14" width="9.00390625" style="61" customWidth="1"/>
    <col min="15" max="15" width="32.375" style="61" customWidth="1"/>
    <col min="16" max="16384" width="9.00390625" style="61" customWidth="1"/>
  </cols>
  <sheetData>
    <row r="1" spans="1:13" ht="30" customHeight="1">
      <c r="A1" s="553" t="s">
        <v>622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3.5">
      <c r="A2" s="554" t="s">
        <v>1538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3" ht="20.25" customHeight="1" thickBot="1">
      <c r="A3" s="566" t="s">
        <v>730</v>
      </c>
      <c r="B3" s="566"/>
      <c r="M3" s="421" t="s">
        <v>611</v>
      </c>
    </row>
    <row r="4" spans="1:13" ht="26.25" customHeight="1">
      <c r="A4" s="555" t="s">
        <v>587</v>
      </c>
      <c r="B4" s="556"/>
      <c r="C4" s="556"/>
      <c r="D4" s="556"/>
      <c r="E4" s="556"/>
      <c r="F4" s="557"/>
      <c r="G4" s="556" t="s">
        <v>588</v>
      </c>
      <c r="H4" s="556"/>
      <c r="I4" s="556"/>
      <c r="J4" s="556"/>
      <c r="K4" s="556"/>
      <c r="L4" s="556"/>
      <c r="M4" s="557"/>
    </row>
    <row r="5" spans="1:13" ht="29.25" customHeight="1">
      <c r="A5" s="82" t="s">
        <v>589</v>
      </c>
      <c r="B5" s="62" t="s">
        <v>590</v>
      </c>
      <c r="C5" s="63" t="s">
        <v>597</v>
      </c>
      <c r="D5" s="63" t="s">
        <v>594</v>
      </c>
      <c r="E5" s="63" t="s">
        <v>598</v>
      </c>
      <c r="F5" s="83" t="s">
        <v>591</v>
      </c>
      <c r="G5" s="81" t="s">
        <v>592</v>
      </c>
      <c r="H5" s="62" t="s">
        <v>590</v>
      </c>
      <c r="I5" s="62" t="s">
        <v>1566</v>
      </c>
      <c r="J5" s="63" t="s">
        <v>597</v>
      </c>
      <c r="K5" s="63" t="s">
        <v>594</v>
      </c>
      <c r="L5" s="63" t="s">
        <v>598</v>
      </c>
      <c r="M5" s="422" t="s">
        <v>591</v>
      </c>
    </row>
    <row r="6" spans="1:14" ht="42.75" customHeight="1">
      <c r="A6" s="84" t="s">
        <v>601</v>
      </c>
      <c r="B6" s="137">
        <f>+'사학자금(수입)'!C7/1000</f>
        <v>203917140.39</v>
      </c>
      <c r="C6" s="148">
        <f>+'사학자금(수입)'!D7/1000</f>
        <v>201129908.833</v>
      </c>
      <c r="D6" s="139">
        <f>B6-C6</f>
        <v>2787231.5569999814</v>
      </c>
      <c r="E6" s="75">
        <f>SUM(C6/C26)</f>
        <v>0.5052977162429652</v>
      </c>
      <c r="F6" s="558" t="s">
        <v>1539</v>
      </c>
      <c r="G6" s="94" t="s">
        <v>599</v>
      </c>
      <c r="H6" s="76">
        <f>+'사학자금(지출)'!F6/1000</f>
        <v>71271000</v>
      </c>
      <c r="I6" s="76"/>
      <c r="J6" s="76">
        <f>+'사학자금(지출)'!G6/1000</f>
        <v>68984275.125</v>
      </c>
      <c r="K6" s="74">
        <f>H6-J6</f>
        <v>2286724.875</v>
      </c>
      <c r="L6" s="77">
        <f>SUM(J6/J26)</f>
        <v>0.1733088672867717</v>
      </c>
      <c r="M6" s="567" t="s">
        <v>1541</v>
      </c>
      <c r="N6" s="61">
        <f>30738+31916+6252+1+77</f>
        <v>68984</v>
      </c>
    </row>
    <row r="7" spans="1:13" ht="18.75" customHeight="1">
      <c r="A7" s="85" t="s">
        <v>654</v>
      </c>
      <c r="B7" s="140">
        <v>201806000</v>
      </c>
      <c r="C7" s="140">
        <v>194324994.849</v>
      </c>
      <c r="D7" s="141"/>
      <c r="E7" s="78"/>
      <c r="F7" s="559"/>
      <c r="G7" s="95" t="s">
        <v>654</v>
      </c>
      <c r="H7" s="102">
        <v>68590000</v>
      </c>
      <c r="I7" s="102"/>
      <c r="J7" s="102">
        <v>65013718.778</v>
      </c>
      <c r="K7" s="64"/>
      <c r="L7" s="65"/>
      <c r="M7" s="568"/>
    </row>
    <row r="8" spans="1:16" ht="88.5" customHeight="1">
      <c r="A8" s="84" t="s">
        <v>600</v>
      </c>
      <c r="B8" s="138">
        <f>'사학자금(수입)'!C14/1000</f>
        <v>2045000</v>
      </c>
      <c r="C8" s="138">
        <f>'사학자금(수입)'!D14/1000</f>
        <v>2067841.622</v>
      </c>
      <c r="D8" s="139">
        <f>B8-C8</f>
        <v>-22841.621999999974</v>
      </c>
      <c r="E8" s="75">
        <f>SUM(C8/C26)</f>
        <v>0.005195028701655299</v>
      </c>
      <c r="F8" s="558" t="s">
        <v>1560</v>
      </c>
      <c r="G8" s="94" t="s">
        <v>655</v>
      </c>
      <c r="H8" s="76">
        <f>+'사학자금(지출)'!F25/1000</f>
        <v>93136400</v>
      </c>
      <c r="I8" s="76"/>
      <c r="J8" s="76">
        <f>+'사학자금(지출)'!G25/1000</f>
        <v>80297017.72</v>
      </c>
      <c r="K8" s="74">
        <f>H8-J8</f>
        <v>12839382.280000001</v>
      </c>
      <c r="L8" s="77">
        <f>+J8/J26</f>
        <v>0.20172981686540603</v>
      </c>
      <c r="M8" s="564" t="s">
        <v>1564</v>
      </c>
      <c r="O8" s="61">
        <f>80570-29350-17160-9416-1228-8290-3214-3102-130-618-1355-1389-372-433-183-1347-1909</f>
        <v>1074</v>
      </c>
      <c r="P8" s="61">
        <f>29350+19070+9416+1228+8656+3142+3102+130+618+1355+1389+372+418+183+1347+521</f>
        <v>80297</v>
      </c>
    </row>
    <row r="9" spans="1:16" ht="20.25" customHeight="1">
      <c r="A9" s="85" t="s">
        <v>656</v>
      </c>
      <c r="B9" s="101">
        <v>2059000</v>
      </c>
      <c r="C9" s="101">
        <v>1092873.325</v>
      </c>
      <c r="D9" s="141"/>
      <c r="E9" s="78"/>
      <c r="F9" s="559"/>
      <c r="G9" s="95" t="s">
        <v>656</v>
      </c>
      <c r="H9" s="102">
        <f>93433400</f>
        <v>93433400</v>
      </c>
      <c r="I9" s="102"/>
      <c r="J9" s="102">
        <v>76912585.526</v>
      </c>
      <c r="K9" s="541"/>
      <c r="L9" s="65"/>
      <c r="M9" s="565"/>
      <c r="P9" s="61">
        <f>80297-P8</f>
        <v>0</v>
      </c>
    </row>
    <row r="10" spans="1:16" ht="104.25" customHeight="1">
      <c r="A10" s="84" t="s">
        <v>603</v>
      </c>
      <c r="B10" s="138">
        <f>+'사학자금(수입)'!C20/1000</f>
        <v>7400000</v>
      </c>
      <c r="C10" s="138">
        <f>+'사학자금(수입)'!D20/1000</f>
        <v>7061169.863</v>
      </c>
      <c r="D10" s="139">
        <f>B10-C10</f>
        <v>338830.1370000001</v>
      </c>
      <c r="E10" s="75">
        <f>SUM(C10/C26)</f>
        <v>0.017739743564146333</v>
      </c>
      <c r="F10" s="558" t="s">
        <v>1563</v>
      </c>
      <c r="G10" s="94" t="s">
        <v>602</v>
      </c>
      <c r="H10" s="76">
        <f>(+'사학자금(지출)'!F61+'사학자금(지출)'!F65-'사학자금(지출)'!F72)/1000</f>
        <v>1765000</v>
      </c>
      <c r="I10" s="76"/>
      <c r="J10" s="76">
        <f>(+'사학자금(지출)'!G61+'사학자금(지출)'!G65-'사학자금(지출)'!G72)/1000</f>
        <v>1210758.642</v>
      </c>
      <c r="K10" s="74">
        <f>H10-J10</f>
        <v>554241.358</v>
      </c>
      <c r="L10" s="77">
        <f>+J10/J26</f>
        <v>0.0030417831951189893</v>
      </c>
      <c r="M10" s="423" t="s">
        <v>1544</v>
      </c>
      <c r="O10" s="61">
        <f>35+35+10+10+9</f>
        <v>99</v>
      </c>
      <c r="P10" s="61">
        <f>35+35+10+10+7</f>
        <v>97</v>
      </c>
    </row>
    <row r="11" spans="1:13" ht="20.25" customHeight="1">
      <c r="A11" s="86" t="s">
        <v>656</v>
      </c>
      <c r="B11" s="142">
        <v>7530498</v>
      </c>
      <c r="C11" s="142">
        <v>7092430.741</v>
      </c>
      <c r="D11" s="143"/>
      <c r="E11" s="79"/>
      <c r="F11" s="559"/>
      <c r="G11" s="96" t="s">
        <v>656</v>
      </c>
      <c r="H11" s="103">
        <f>3907458.62-I11</f>
        <v>3143995.62</v>
      </c>
      <c r="I11" s="103">
        <v>763463</v>
      </c>
      <c r="J11" s="103">
        <v>3508248.096</v>
      </c>
      <c r="K11" s="70"/>
      <c r="L11" s="71"/>
      <c r="M11" s="424"/>
    </row>
    <row r="12" spans="1:15" ht="31.5" customHeight="1">
      <c r="A12" s="84" t="s">
        <v>659</v>
      </c>
      <c r="B12" s="147">
        <f>+'사학자금(수입)'!C34</f>
        <v>0</v>
      </c>
      <c r="C12" s="147"/>
      <c r="D12" s="139">
        <f>B12-C12</f>
        <v>0</v>
      </c>
      <c r="E12" s="75">
        <f>SUM(C12/C26)</f>
        <v>0</v>
      </c>
      <c r="F12" s="98"/>
      <c r="G12" s="94" t="s">
        <v>657</v>
      </c>
      <c r="H12" s="76">
        <f>+'사학자금(지출)'!F74/1000</f>
        <v>82944810</v>
      </c>
      <c r="I12" s="76"/>
      <c r="J12" s="76">
        <f>+'사학자금(지출)'!G74/1000</f>
        <v>82338120.626</v>
      </c>
      <c r="K12" s="74">
        <f>H12-J12</f>
        <v>606689.373999998</v>
      </c>
      <c r="L12" s="77">
        <f>+J12/J26</f>
        <v>0.2068576700176442</v>
      </c>
      <c r="M12" s="560" t="s">
        <v>1561</v>
      </c>
      <c r="O12" s="61">
        <f>7319-3029-1611-983-384-502-122-117-23</f>
        <v>548</v>
      </c>
    </row>
    <row r="13" spans="1:13" ht="20.25" customHeight="1">
      <c r="A13" s="85" t="s">
        <v>656</v>
      </c>
      <c r="B13" s="144">
        <v>0</v>
      </c>
      <c r="C13" s="144">
        <v>0</v>
      </c>
      <c r="D13" s="145"/>
      <c r="E13" s="80"/>
      <c r="F13" s="100"/>
      <c r="G13" s="96" t="s">
        <v>656</v>
      </c>
      <c r="H13" s="103">
        <v>63491000</v>
      </c>
      <c r="I13" s="103"/>
      <c r="J13" s="103">
        <v>13423970.239</v>
      </c>
      <c r="K13" s="70"/>
      <c r="L13" s="71"/>
      <c r="M13" s="560"/>
    </row>
    <row r="14" spans="1:13" ht="30" customHeight="1">
      <c r="A14" s="84" t="s">
        <v>604</v>
      </c>
      <c r="B14" s="138">
        <f>'사학자금(수입)'!C37/1000</f>
        <v>0</v>
      </c>
      <c r="C14" s="138">
        <f>'사학자금(수입)'!D37/1000</f>
        <v>100</v>
      </c>
      <c r="D14" s="139">
        <f>B14-C14</f>
        <v>-100</v>
      </c>
      <c r="E14" s="75">
        <f>SUM(C14/C26)</f>
        <v>2.512295258198115E-07</v>
      </c>
      <c r="F14" s="98" t="s">
        <v>1540</v>
      </c>
      <c r="G14" s="94" t="s">
        <v>605</v>
      </c>
      <c r="H14" s="76">
        <v>5000000</v>
      </c>
      <c r="I14" s="76">
        <v>-413447</v>
      </c>
      <c r="J14" s="76">
        <f>+'사학자금(지출)'!G80/1000</f>
        <v>0</v>
      </c>
      <c r="K14" s="74">
        <f>H14+I14</f>
        <v>4586553</v>
      </c>
      <c r="L14" s="77">
        <f>+J14/J26</f>
        <v>0</v>
      </c>
      <c r="M14" s="423"/>
    </row>
    <row r="15" spans="1:13" ht="20.25" customHeight="1">
      <c r="A15" s="85" t="s">
        <v>656</v>
      </c>
      <c r="B15" s="101">
        <v>55000</v>
      </c>
      <c r="C15" s="101">
        <v>55000</v>
      </c>
      <c r="D15" s="141"/>
      <c r="E15" s="78"/>
      <c r="F15" s="99"/>
      <c r="G15" s="95" t="s">
        <v>656</v>
      </c>
      <c r="H15" s="102">
        <f>+H14</f>
        <v>5000000</v>
      </c>
      <c r="I15" s="102">
        <v>-3757144</v>
      </c>
      <c r="J15" s="102">
        <v>0</v>
      </c>
      <c r="K15" s="64"/>
      <c r="L15" s="65"/>
      <c r="M15" s="425"/>
    </row>
    <row r="16" spans="1:13" ht="40.5" customHeight="1">
      <c r="A16" s="84" t="s">
        <v>606</v>
      </c>
      <c r="B16" s="138">
        <f>+'사학자금(수입)'!C49/1000</f>
        <v>65625.012</v>
      </c>
      <c r="C16" s="138">
        <f>+'사학자금(수입)'!D49/1000</f>
        <v>101910.208</v>
      </c>
      <c r="D16" s="139">
        <f>B16-C16</f>
        <v>-36285.195999999996</v>
      </c>
      <c r="E16" s="75">
        <f>SUM(C16/C26)</f>
        <v>0.0002560285323203836</v>
      </c>
      <c r="F16" s="98" t="s">
        <v>1562</v>
      </c>
      <c r="G16" s="94" t="s">
        <v>658</v>
      </c>
      <c r="H16" s="76">
        <f>+'사학자금(지출)'!F72/1000</f>
        <v>3476000</v>
      </c>
      <c r="I16" s="76"/>
      <c r="J16" s="76">
        <f>+'사학자금(지출)'!G72/1000</f>
        <v>1799727.652</v>
      </c>
      <c r="K16" s="74">
        <f>H16-J16</f>
        <v>1676272.348</v>
      </c>
      <c r="L16" s="77">
        <f>+J16/J26</f>
        <v>0.004521447246167628</v>
      </c>
      <c r="M16" s="423" t="s">
        <v>1542</v>
      </c>
    </row>
    <row r="17" spans="1:13" ht="20.25" customHeight="1">
      <c r="A17" s="85" t="s">
        <v>656</v>
      </c>
      <c r="B17" s="101">
        <v>0</v>
      </c>
      <c r="C17" s="101">
        <v>3</v>
      </c>
      <c r="D17" s="105"/>
      <c r="E17" s="78"/>
      <c r="F17" s="99"/>
      <c r="G17" s="95" t="s">
        <v>656</v>
      </c>
      <c r="H17" s="102">
        <v>2097004.723</v>
      </c>
      <c r="I17" s="102"/>
      <c r="J17" s="102">
        <v>2097004.723</v>
      </c>
      <c r="K17" s="64"/>
      <c r="L17" s="65"/>
      <c r="M17" s="425"/>
    </row>
    <row r="18" spans="1:13" ht="42.75" customHeight="1">
      <c r="A18" s="84" t="s">
        <v>660</v>
      </c>
      <c r="B18" s="73">
        <v>0</v>
      </c>
      <c r="C18" s="73">
        <v>0</v>
      </c>
      <c r="D18" s="74">
        <f>B18-C18</f>
        <v>0</v>
      </c>
      <c r="E18" s="75">
        <f>SUM(C18/C26)</f>
        <v>0</v>
      </c>
      <c r="F18" s="98"/>
      <c r="G18" s="94" t="s">
        <v>608</v>
      </c>
      <c r="H18" s="76">
        <f>+'사학자금(지출)'!C86/1000</f>
        <v>20000</v>
      </c>
      <c r="I18" s="76">
        <v>413447</v>
      </c>
      <c r="J18" s="76">
        <f>+'사학자금(지출)'!G86/1000</f>
        <v>433446.733</v>
      </c>
      <c r="K18" s="74">
        <f>H18+I18-J18</f>
        <v>0.2669999999925494</v>
      </c>
      <c r="L18" s="77">
        <f>+J18/J26</f>
        <v>0.0010889461719973644</v>
      </c>
      <c r="M18" s="423" t="s">
        <v>1543</v>
      </c>
    </row>
    <row r="19" spans="1:13" ht="20.25" customHeight="1">
      <c r="A19" s="85" t="s">
        <v>656</v>
      </c>
      <c r="B19" s="101">
        <v>0</v>
      </c>
      <c r="C19" s="101">
        <v>0</v>
      </c>
      <c r="D19" s="64"/>
      <c r="E19" s="78"/>
      <c r="F19" s="99"/>
      <c r="G19" s="95" t="s">
        <v>656</v>
      </c>
      <c r="H19" s="102">
        <v>0</v>
      </c>
      <c r="I19" s="102">
        <f>2003670+490011</f>
        <v>2493681</v>
      </c>
      <c r="J19" s="102">
        <v>2493681.177</v>
      </c>
      <c r="K19" s="541"/>
      <c r="L19" s="65"/>
      <c r="M19" s="425"/>
    </row>
    <row r="20" spans="1:13" ht="57" customHeight="1">
      <c r="A20" s="84" t="s">
        <v>607</v>
      </c>
      <c r="B20" s="73">
        <f>'사학자금(수입)'!C59</f>
        <v>0</v>
      </c>
      <c r="C20" s="73">
        <f>'사학자금(수입)'!D59/1000</f>
        <v>0</v>
      </c>
      <c r="D20" s="74">
        <f>B20-C20</f>
        <v>0</v>
      </c>
      <c r="E20" s="75">
        <f>SUM(C20/C26)</f>
        <v>0</v>
      </c>
      <c r="F20" s="98"/>
      <c r="G20" s="94" t="s">
        <v>609</v>
      </c>
      <c r="H20" s="76">
        <f>+'사학자금(지출)'!F94/1000</f>
        <v>19686000</v>
      </c>
      <c r="I20" s="76"/>
      <c r="J20" s="76">
        <f>+'사학자금(지출)'!G94/1000</f>
        <v>9148063.663</v>
      </c>
      <c r="K20" s="74">
        <f>H20-J20</f>
        <v>10537936.337</v>
      </c>
      <c r="L20" s="77">
        <f>+J20/J26</f>
        <v>0.02298263696224938</v>
      </c>
      <c r="M20" s="561" t="s">
        <v>1565</v>
      </c>
    </row>
    <row r="21" spans="1:13" ht="20.25" customHeight="1">
      <c r="A21" s="85" t="s">
        <v>656</v>
      </c>
      <c r="B21" s="101">
        <v>0</v>
      </c>
      <c r="C21" s="101">
        <v>608000</v>
      </c>
      <c r="D21" s="64"/>
      <c r="E21" s="78"/>
      <c r="F21" s="99"/>
      <c r="G21" s="95" t="s">
        <v>656</v>
      </c>
      <c r="H21" s="102">
        <v>29881880.5</v>
      </c>
      <c r="I21" s="102"/>
      <c r="J21" s="102">
        <v>12840072.066</v>
      </c>
      <c r="K21" s="64"/>
      <c r="L21" s="65"/>
      <c r="M21" s="562"/>
    </row>
    <row r="22" spans="1:13" ht="39" customHeight="1">
      <c r="A22" s="84" t="s">
        <v>596</v>
      </c>
      <c r="B22" s="73">
        <f>+'사학자금(수입)'!C67/1000</f>
        <v>0</v>
      </c>
      <c r="C22" s="73">
        <f>+'사학자금(수입)'!D65/1000</f>
        <v>0</v>
      </c>
      <c r="D22" s="74">
        <f>B22-C22</f>
        <v>0</v>
      </c>
      <c r="E22" s="75">
        <f>SUM(C22/C26)</f>
        <v>0</v>
      </c>
      <c r="F22" s="98"/>
      <c r="G22" s="94" t="s">
        <v>610</v>
      </c>
      <c r="H22" s="76">
        <f>+'사학자금(지출)'!F108/1000</f>
        <v>0</v>
      </c>
      <c r="I22" s="76"/>
      <c r="J22" s="76">
        <f>+'사학자금(지출)'!G108/1000</f>
        <v>0</v>
      </c>
      <c r="K22" s="74">
        <f>H22-J22</f>
        <v>0</v>
      </c>
      <c r="L22" s="77">
        <f>+J22/J26</f>
        <v>0</v>
      </c>
      <c r="M22" s="563"/>
    </row>
    <row r="23" spans="1:13" ht="20.25" customHeight="1">
      <c r="A23" s="85" t="s">
        <v>656</v>
      </c>
      <c r="B23" s="101">
        <v>0</v>
      </c>
      <c r="C23" s="101">
        <v>0</v>
      </c>
      <c r="D23" s="64"/>
      <c r="E23" s="78"/>
      <c r="F23" s="99"/>
      <c r="G23" s="95" t="s">
        <v>656</v>
      </c>
      <c r="H23" s="102">
        <v>0</v>
      </c>
      <c r="I23" s="102">
        <v>500000</v>
      </c>
      <c r="J23" s="102">
        <v>500000</v>
      </c>
      <c r="K23" s="541">
        <f>H23+I23-J23</f>
        <v>0</v>
      </c>
      <c r="L23" s="65"/>
      <c r="M23" s="562"/>
    </row>
    <row r="24" spans="1:13" ht="42" customHeight="1">
      <c r="A24" s="84" t="s">
        <v>595</v>
      </c>
      <c r="B24" s="138">
        <f>+'사학자금(수입)'!C68/1000</f>
        <v>187681455.908</v>
      </c>
      <c r="C24" s="138">
        <f>+'사학자금(수입)'!D68/1000</f>
        <v>187681455.908</v>
      </c>
      <c r="D24" s="74">
        <f>B24-C24</f>
        <v>0</v>
      </c>
      <c r="E24" s="75">
        <f>SUM(C24/C26)</f>
        <v>0.471511231729387</v>
      </c>
      <c r="F24" s="98"/>
      <c r="G24" s="94" t="s">
        <v>612</v>
      </c>
      <c r="H24" s="76">
        <f>+'사학자금(지출)'!F116/1000</f>
        <v>123810011.31</v>
      </c>
      <c r="I24" s="76"/>
      <c r="J24" s="76">
        <f>+'사학자금(지출)'!G116/1000</f>
        <v>153830976.273</v>
      </c>
      <c r="K24" s="74">
        <f>H24-J24</f>
        <v>-30020964.963</v>
      </c>
      <c r="L24" s="77">
        <f>+J24/J26</f>
        <v>0.3864688322546447</v>
      </c>
      <c r="M24" s="423"/>
    </row>
    <row r="25" spans="1:13" ht="19.5" customHeight="1">
      <c r="A25" s="85" t="s">
        <v>656</v>
      </c>
      <c r="B25" s="101">
        <v>161297434.598</v>
      </c>
      <c r="C25" s="101">
        <v>161297434.598</v>
      </c>
      <c r="D25" s="64"/>
      <c r="E25" s="78"/>
      <c r="F25" s="99"/>
      <c r="G25" s="95" t="s">
        <v>656</v>
      </c>
      <c r="H25" s="102">
        <v>107110652.098</v>
      </c>
      <c r="I25" s="102"/>
      <c r="J25" s="102">
        <v>187681455.908</v>
      </c>
      <c r="K25" s="64"/>
      <c r="L25" s="65"/>
      <c r="M25" s="425"/>
    </row>
    <row r="26" spans="1:13" ht="31.5" customHeight="1" thickBot="1">
      <c r="A26" s="87" t="s">
        <v>593</v>
      </c>
      <c r="B26" s="88">
        <f>B6+B8+B10+B12+B14+B16+B18+B20+B22+B24</f>
        <v>401109221.30999994</v>
      </c>
      <c r="C26" s="88">
        <f>C6+C8+C10+C12+C14+C16+C18+C20+C22+C24</f>
        <v>398042386.434</v>
      </c>
      <c r="D26" s="89">
        <f>B26-C26</f>
        <v>3066834.8759999275</v>
      </c>
      <c r="E26" s="90">
        <f>SUM(E6:E24)</f>
        <v>1</v>
      </c>
      <c r="F26" s="93" t="s">
        <v>623</v>
      </c>
      <c r="G26" s="97" t="s">
        <v>593</v>
      </c>
      <c r="H26" s="91">
        <f>H6+H8+H10+H12+H14+H16+H18+H20+H22+H24</f>
        <v>401109221.31</v>
      </c>
      <c r="I26" s="91">
        <v>0</v>
      </c>
      <c r="J26" s="91">
        <f>J6+J8+J10+J12+J14+J16+J18+J20+J22+J24</f>
        <v>398042386.434</v>
      </c>
      <c r="K26" s="89">
        <f>H26-J26</f>
        <v>3066834.875999987</v>
      </c>
      <c r="L26" s="92">
        <f>SUM(L6:L24)</f>
        <v>1</v>
      </c>
      <c r="M26" s="426"/>
    </row>
    <row r="27" spans="2:8" ht="15" thickBot="1">
      <c r="B27" s="88">
        <f>B7+B9+B11+B13+B15+B17+B19+B21+B23+B25</f>
        <v>372747932.598</v>
      </c>
      <c r="H27" s="91">
        <f>H7+H9+H11+H13+H15+H17+H19+H21+H23+H25</f>
        <v>372747932.941</v>
      </c>
    </row>
    <row r="28" spans="2:11" ht="13.5">
      <c r="B28" s="66"/>
      <c r="C28" s="66"/>
      <c r="D28" s="66"/>
      <c r="E28" s="72"/>
      <c r="H28" s="66">
        <f>H26-B26</f>
        <v>0</v>
      </c>
      <c r="I28" s="66"/>
      <c r="J28" s="66">
        <f>J26-C26</f>
        <v>0</v>
      </c>
      <c r="K28" s="66"/>
    </row>
    <row r="29" ht="13.5">
      <c r="H29" s="540">
        <f>+B27-H27</f>
        <v>-0.34299999475479126</v>
      </c>
    </row>
    <row r="31" ht="85.5" customHeight="1"/>
    <row r="32" ht="30.75" customHeight="1"/>
  </sheetData>
  <sheetProtection/>
  <mergeCells count="13">
    <mergeCell ref="M20:M21"/>
    <mergeCell ref="M22:M23"/>
    <mergeCell ref="M8:M9"/>
    <mergeCell ref="F8:F9"/>
    <mergeCell ref="F6:F7"/>
    <mergeCell ref="A3:B3"/>
    <mergeCell ref="M6:M7"/>
    <mergeCell ref="A1:M1"/>
    <mergeCell ref="A2:M2"/>
    <mergeCell ref="A4:F4"/>
    <mergeCell ref="G4:M4"/>
    <mergeCell ref="F10:F11"/>
    <mergeCell ref="M12:M1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8"/>
  <sheetViews>
    <sheetView showGridLines="0" zoomScalePageLayoutView="0" workbookViewId="0" topLeftCell="A1">
      <pane xSplit="1" ySplit="5" topLeftCell="B165" activePane="bottomRight" state="frozen"/>
      <selection pane="topLeft" activeCell="E210" sqref="E210"/>
      <selection pane="topRight" activeCell="E210" sqref="E210"/>
      <selection pane="bottomLeft" activeCell="E210" sqref="E210"/>
      <selection pane="bottomRight" activeCell="E210" sqref="E210"/>
    </sheetView>
  </sheetViews>
  <sheetFormatPr defaultColWidth="9.625" defaultRowHeight="14.25"/>
  <cols>
    <col min="1" max="1" width="18.625" style="119" bestFit="1" customWidth="1"/>
    <col min="2" max="2" width="17.50390625" style="119" bestFit="1" customWidth="1"/>
    <col min="3" max="3" width="23.50390625" style="184" customWidth="1"/>
    <col min="4" max="4" width="19.75390625" style="184" customWidth="1"/>
    <col min="5" max="5" width="25.75390625" style="473" customWidth="1"/>
    <col min="6" max="6" width="21.625" style="184" bestFit="1" customWidth="1"/>
    <col min="7" max="7" width="19.375" style="184" bestFit="1" customWidth="1"/>
    <col min="8" max="8" width="18.375" style="119" customWidth="1"/>
    <col min="9" max="9" width="17.25390625" style="119" customWidth="1"/>
    <col min="10" max="10" width="17.125" style="119" customWidth="1"/>
    <col min="11" max="11" width="17.25390625" style="119" bestFit="1" customWidth="1"/>
    <col min="12" max="16384" width="9.625" style="119" customWidth="1"/>
  </cols>
  <sheetData>
    <row r="1" spans="3:7" ht="31.5">
      <c r="C1" s="456" t="s">
        <v>0</v>
      </c>
      <c r="D1" s="456"/>
      <c r="E1" s="466"/>
      <c r="F1" s="456"/>
      <c r="G1" s="456"/>
    </row>
    <row r="2" spans="3:7" ht="15.75" customHeight="1">
      <c r="C2" s="457" t="s">
        <v>1530</v>
      </c>
      <c r="D2" s="457"/>
      <c r="E2" s="467"/>
      <c r="F2" s="457"/>
      <c r="G2" s="457"/>
    </row>
    <row r="3" spans="3:7" ht="14.25">
      <c r="C3" s="458"/>
      <c r="D3" s="458"/>
      <c r="E3" s="468"/>
      <c r="F3" s="458"/>
      <c r="G3" s="458"/>
    </row>
    <row r="4" spans="3:9" s="114" customFormat="1" ht="15" thickBot="1">
      <c r="C4" s="458" t="s">
        <v>510</v>
      </c>
      <c r="D4" s="458"/>
      <c r="E4" s="468"/>
      <c r="F4" s="458"/>
      <c r="G4" s="459" t="s">
        <v>238</v>
      </c>
      <c r="I4" s="186">
        <f ca="1">TODAY()</f>
        <v>43598</v>
      </c>
    </row>
    <row r="5" spans="1:9" s="114" customFormat="1" ht="14.25">
      <c r="A5" s="187" t="s">
        <v>616</v>
      </c>
      <c r="B5" s="188" t="s">
        <v>617</v>
      </c>
      <c r="C5" s="460" t="s">
        <v>2</v>
      </c>
      <c r="D5" s="461" t="s">
        <v>3</v>
      </c>
      <c r="E5" s="474" t="s">
        <v>4</v>
      </c>
      <c r="F5" s="461" t="s">
        <v>5</v>
      </c>
      <c r="G5" s="462" t="s">
        <v>3</v>
      </c>
      <c r="H5" s="189" t="s">
        <v>618</v>
      </c>
      <c r="I5" s="190" t="s">
        <v>619</v>
      </c>
    </row>
    <row r="6" spans="1:11" s="114" customFormat="1" ht="14.25">
      <c r="A6" s="125"/>
      <c r="B6" s="126"/>
      <c r="C6" s="496">
        <f aca="true" t="shared" si="0" ref="C6:C15">D6-F6</f>
        <v>35451460</v>
      </c>
      <c r="D6" s="475">
        <f>+ocs합잔!E4</f>
        <v>405049643</v>
      </c>
      <c r="E6" s="469" t="s">
        <v>769</v>
      </c>
      <c r="F6" s="478">
        <f>+ocs합잔!F4</f>
        <v>369598183</v>
      </c>
      <c r="G6" s="484" t="s">
        <v>1</v>
      </c>
      <c r="H6" s="191"/>
      <c r="I6" s="127"/>
      <c r="K6" s="115"/>
    </row>
    <row r="7" spans="1:11" s="114" customFormat="1" ht="14.25">
      <c r="A7" s="125"/>
      <c r="B7" s="436"/>
      <c r="C7" s="497">
        <f t="shared" si="0"/>
        <v>156000250446</v>
      </c>
      <c r="D7" s="477">
        <f>+ocs합잔!E5</f>
        <v>1212077532487</v>
      </c>
      <c r="E7" s="470" t="s">
        <v>771</v>
      </c>
      <c r="F7" s="478">
        <f>+ocs합잔!F5</f>
        <v>1056077282041</v>
      </c>
      <c r="G7" s="485"/>
      <c r="H7" s="116"/>
      <c r="I7" s="127"/>
      <c r="K7" s="115"/>
    </row>
    <row r="8" spans="1:11" s="114" customFormat="1" ht="14.25">
      <c r="A8" s="125"/>
      <c r="B8" s="126"/>
      <c r="C8" s="497"/>
      <c r="D8" s="477"/>
      <c r="E8" s="470" t="s">
        <v>701</v>
      </c>
      <c r="F8" s="486"/>
      <c r="G8" s="485"/>
      <c r="H8" s="116"/>
      <c r="I8" s="127"/>
      <c r="K8" s="115"/>
    </row>
    <row r="9" spans="1:11" s="114" customFormat="1" ht="14.25">
      <c r="A9" s="125"/>
      <c r="B9" s="126"/>
      <c r="C9" s="497">
        <f t="shared" si="0"/>
        <v>0</v>
      </c>
      <c r="D9" s="478"/>
      <c r="E9" s="470" t="s">
        <v>6</v>
      </c>
      <c r="F9" s="486"/>
      <c r="G9" s="485"/>
      <c r="H9" s="192"/>
      <c r="I9" s="127"/>
      <c r="K9" s="115"/>
    </row>
    <row r="10" spans="1:11" s="114" customFormat="1" ht="14.25">
      <c r="A10" s="125"/>
      <c r="B10" s="126"/>
      <c r="C10" s="497">
        <f t="shared" si="0"/>
        <v>5516324080</v>
      </c>
      <c r="D10" s="478">
        <f>+ocs합잔!E8</f>
        <v>131413816321</v>
      </c>
      <c r="E10" s="516" t="s">
        <v>802</v>
      </c>
      <c r="F10" s="478">
        <f>+ocs합잔!F8</f>
        <v>125897492241</v>
      </c>
      <c r="G10" s="485"/>
      <c r="H10" s="192"/>
      <c r="I10" s="127"/>
      <c r="K10" s="115"/>
    </row>
    <row r="11" spans="1:11" s="114" customFormat="1" ht="14.25">
      <c r="A11" s="125"/>
      <c r="B11" s="126"/>
      <c r="C11" s="497">
        <f>D11-F11</f>
        <v>7115610212</v>
      </c>
      <c r="D11" s="478">
        <f>+ocs합잔!E9</f>
        <v>133453963999</v>
      </c>
      <c r="E11" s="470" t="s">
        <v>7</v>
      </c>
      <c r="F11" s="478">
        <f>+ocs합잔!F9</f>
        <v>126338353787</v>
      </c>
      <c r="G11" s="485"/>
      <c r="H11" s="192"/>
      <c r="I11" s="127"/>
      <c r="K11" s="115"/>
    </row>
    <row r="12" spans="1:11" s="114" customFormat="1" ht="14.25">
      <c r="A12" s="125"/>
      <c r="B12" s="126"/>
      <c r="C12" s="497">
        <f t="shared" si="0"/>
        <v>13824559713</v>
      </c>
      <c r="D12" s="478">
        <f>+ocs합잔!E10</f>
        <v>78736782738</v>
      </c>
      <c r="E12" s="470" t="s">
        <v>8</v>
      </c>
      <c r="F12" s="478">
        <f>+ocs합잔!F10</f>
        <v>64912223025</v>
      </c>
      <c r="G12" s="485"/>
      <c r="H12" s="192"/>
      <c r="I12" s="127"/>
      <c r="K12" s="115"/>
    </row>
    <row r="13" spans="1:11" s="114" customFormat="1" ht="14.25">
      <c r="A13" s="125"/>
      <c r="B13" s="126"/>
      <c r="C13" s="497">
        <f t="shared" si="0"/>
        <v>585686099</v>
      </c>
      <c r="D13" s="478">
        <f>+ocs합잔!E12+ocs합잔!E13+ocs합잔!E14+ocs합잔!E17</f>
        <v>50908985809</v>
      </c>
      <c r="E13" s="516" t="s">
        <v>805</v>
      </c>
      <c r="F13" s="478">
        <f>+ocs합잔!F12+ocs합잔!F13+ocs합잔!F14+ocs합잔!F17</f>
        <v>50323299710</v>
      </c>
      <c r="G13" s="485"/>
      <c r="H13" s="192"/>
      <c r="I13" s="127"/>
      <c r="K13" s="115"/>
    </row>
    <row r="14" spans="1:11" s="114" customFormat="1" ht="14.25">
      <c r="A14" s="125"/>
      <c r="B14" s="126"/>
      <c r="C14" s="497">
        <f t="shared" si="0"/>
        <v>2199519118</v>
      </c>
      <c r="D14" s="478">
        <f>+ocs합잔!E11</f>
        <v>6437462771</v>
      </c>
      <c r="E14" s="516" t="s">
        <v>803</v>
      </c>
      <c r="F14" s="478">
        <f>+ocs합잔!F11</f>
        <v>4237943653</v>
      </c>
      <c r="G14" s="485"/>
      <c r="H14" s="192"/>
      <c r="I14" s="127"/>
      <c r="K14" s="115"/>
    </row>
    <row r="15" spans="1:11" s="114" customFormat="1" ht="14.25">
      <c r="A15" s="125"/>
      <c r="B15" s="126"/>
      <c r="C15" s="497">
        <f t="shared" si="0"/>
        <v>0</v>
      </c>
      <c r="D15" s="478">
        <f>+ocs합잔!E15</f>
        <v>533266630</v>
      </c>
      <c r="E15" s="470" t="s">
        <v>793</v>
      </c>
      <c r="F15" s="478">
        <f>+ocs합잔!F15</f>
        <v>533266630</v>
      </c>
      <c r="G15" s="485"/>
      <c r="H15" s="192"/>
      <c r="I15" s="127"/>
      <c r="K15" s="115"/>
    </row>
    <row r="16" spans="1:11" s="114" customFormat="1" ht="14.25">
      <c r="A16" s="125"/>
      <c r="B16" s="126"/>
      <c r="C16" s="497">
        <f aca="true" t="shared" si="1" ref="C16:C52">D16-F16</f>
        <v>0</v>
      </c>
      <c r="D16" s="477"/>
      <c r="E16" s="470" t="s">
        <v>10</v>
      </c>
      <c r="F16" s="486"/>
      <c r="G16" s="485"/>
      <c r="H16" s="192"/>
      <c r="I16" s="127"/>
      <c r="K16" s="115"/>
    </row>
    <row r="17" spans="1:11" s="114" customFormat="1" ht="14.25">
      <c r="A17" s="125"/>
      <c r="B17" s="126"/>
      <c r="C17" s="497">
        <f t="shared" si="1"/>
        <v>0</v>
      </c>
      <c r="D17" s="477"/>
      <c r="E17" s="470" t="s">
        <v>11</v>
      </c>
      <c r="F17" s="486"/>
      <c r="G17" s="485"/>
      <c r="H17" s="116"/>
      <c r="I17" s="127"/>
      <c r="K17" s="115"/>
    </row>
    <row r="18" spans="1:11" s="114" customFormat="1" ht="14.25">
      <c r="A18" s="125"/>
      <c r="B18" s="126"/>
      <c r="C18" s="497">
        <f t="shared" si="1"/>
        <v>435177580</v>
      </c>
      <c r="D18" s="478">
        <f>+ocs합잔!E19</f>
        <v>29785768909</v>
      </c>
      <c r="E18" s="470" t="s">
        <v>12</v>
      </c>
      <c r="F18" s="478">
        <f>+ocs합잔!F19</f>
        <v>29350591329</v>
      </c>
      <c r="G18" s="485"/>
      <c r="H18" s="116"/>
      <c r="I18" s="127"/>
      <c r="K18" s="115"/>
    </row>
    <row r="19" spans="1:11" s="114" customFormat="1" ht="14.25">
      <c r="A19" s="125"/>
      <c r="B19" s="126"/>
      <c r="C19" s="497">
        <f t="shared" si="1"/>
        <v>27308090</v>
      </c>
      <c r="D19" s="478">
        <f>+ocs합잔!E20</f>
        <v>19097346996</v>
      </c>
      <c r="E19" s="470" t="s">
        <v>13</v>
      </c>
      <c r="F19" s="478">
        <f>+ocs합잔!F20</f>
        <v>19070038906</v>
      </c>
      <c r="G19" s="485"/>
      <c r="H19" s="116"/>
      <c r="I19" s="127"/>
      <c r="K19" s="115"/>
    </row>
    <row r="20" spans="1:11" s="114" customFormat="1" ht="14.25">
      <c r="A20" s="125"/>
      <c r="B20" s="126"/>
      <c r="C20" s="497">
        <f t="shared" si="1"/>
        <v>5885400</v>
      </c>
      <c r="D20" s="478">
        <f>+ocs합잔!E21</f>
        <v>9417203411</v>
      </c>
      <c r="E20" s="470" t="s">
        <v>14</v>
      </c>
      <c r="F20" s="478">
        <f>+ocs합잔!F21</f>
        <v>9411318011</v>
      </c>
      <c r="G20" s="485"/>
      <c r="H20" s="116"/>
      <c r="I20" s="127"/>
      <c r="K20" s="115"/>
    </row>
    <row r="21" spans="1:11" s="114" customFormat="1" ht="14.25">
      <c r="A21" s="125"/>
      <c r="B21" s="126"/>
      <c r="C21" s="497">
        <f t="shared" si="1"/>
        <v>0</v>
      </c>
      <c r="D21" s="477"/>
      <c r="E21" s="470" t="s">
        <v>673</v>
      </c>
      <c r="F21" s="486"/>
      <c r="G21" s="485"/>
      <c r="H21" s="116"/>
      <c r="I21" s="127"/>
      <c r="K21" s="115"/>
    </row>
    <row r="22" spans="1:11" s="114" customFormat="1" ht="14.25">
      <c r="A22" s="125"/>
      <c r="B22" s="126"/>
      <c r="C22" s="497">
        <f t="shared" si="1"/>
        <v>0</v>
      </c>
      <c r="D22" s="477"/>
      <c r="E22" s="470" t="s">
        <v>15</v>
      </c>
      <c r="F22" s="486"/>
      <c r="G22" s="485"/>
      <c r="H22" s="116"/>
      <c r="I22" s="127"/>
      <c r="K22" s="115"/>
    </row>
    <row r="23" spans="1:11" s="114" customFormat="1" ht="14.25">
      <c r="A23" s="125"/>
      <c r="B23" s="126"/>
      <c r="C23" s="497">
        <f t="shared" si="1"/>
        <v>221279841</v>
      </c>
      <c r="D23" s="478">
        <f>+ocs합잔!E27</f>
        <v>2275312005</v>
      </c>
      <c r="E23" s="470" t="s">
        <v>16</v>
      </c>
      <c r="F23" s="478">
        <f>+ocs합잔!F27</f>
        <v>2054032164</v>
      </c>
      <c r="G23" s="485"/>
      <c r="H23" s="116"/>
      <c r="I23" s="127"/>
      <c r="K23" s="115"/>
    </row>
    <row r="24" spans="1:11" s="114" customFormat="1" ht="14.25">
      <c r="A24" s="125"/>
      <c r="B24" s="126"/>
      <c r="C24" s="497">
        <f>D24-F24</f>
        <v>9242810</v>
      </c>
      <c r="D24" s="478">
        <f>+ocs합잔!E28</f>
        <v>16623030</v>
      </c>
      <c r="E24" s="470" t="s">
        <v>17</v>
      </c>
      <c r="F24" s="478">
        <f>+ocs합잔!F28</f>
        <v>7380220</v>
      </c>
      <c r="G24" s="485"/>
      <c r="H24" s="116"/>
      <c r="I24" s="127"/>
      <c r="K24" s="115"/>
    </row>
    <row r="25" spans="1:11" s="114" customFormat="1" ht="14.25">
      <c r="A25" s="125"/>
      <c r="B25" s="126"/>
      <c r="C25" s="497">
        <f t="shared" si="1"/>
        <v>500554740</v>
      </c>
      <c r="D25" s="478">
        <f>+ocs합잔!E29</f>
        <v>841898300</v>
      </c>
      <c r="E25" s="470" t="s">
        <v>18</v>
      </c>
      <c r="F25" s="478">
        <f>+ocs합잔!F29</f>
        <v>341343560</v>
      </c>
      <c r="G25" s="485"/>
      <c r="H25" s="116"/>
      <c r="I25" s="127"/>
      <c r="K25" s="115"/>
    </row>
    <row r="26" spans="1:11" s="114" customFormat="1" ht="14.25">
      <c r="A26" s="437"/>
      <c r="B26" s="126"/>
      <c r="C26" s="497">
        <f t="shared" si="1"/>
        <v>161564392</v>
      </c>
      <c r="D26" s="479">
        <f>+ocs합잔!E34</f>
        <v>701545652</v>
      </c>
      <c r="E26" s="470" t="s">
        <v>674</v>
      </c>
      <c r="F26" s="479">
        <f>+ocs합잔!F34</f>
        <v>539981260</v>
      </c>
      <c r="G26" s="485"/>
      <c r="H26" s="116"/>
      <c r="I26" s="127"/>
      <c r="K26" s="115"/>
    </row>
    <row r="27" spans="1:11" s="114" customFormat="1" ht="14.25">
      <c r="A27" s="125"/>
      <c r="B27" s="126"/>
      <c r="C27" s="497">
        <f t="shared" si="1"/>
        <v>0</v>
      </c>
      <c r="D27" s="477"/>
      <c r="E27" s="470" t="s">
        <v>19</v>
      </c>
      <c r="F27" s="486"/>
      <c r="G27" s="485"/>
      <c r="H27" s="116"/>
      <c r="I27" s="127"/>
      <c r="K27" s="115"/>
    </row>
    <row r="28" spans="1:11" s="114" customFormat="1" ht="14.25">
      <c r="A28" s="125"/>
      <c r="B28" s="126"/>
      <c r="C28" s="497">
        <f t="shared" si="1"/>
        <v>0</v>
      </c>
      <c r="D28" s="477"/>
      <c r="E28" s="470" t="s">
        <v>20</v>
      </c>
      <c r="F28" s="486"/>
      <c r="G28" s="485"/>
      <c r="H28" s="116"/>
      <c r="I28" s="127"/>
      <c r="K28" s="115"/>
    </row>
    <row r="29" spans="1:11" s="114" customFormat="1" ht="14.25">
      <c r="A29" s="125"/>
      <c r="B29" s="126"/>
      <c r="C29" s="497">
        <f t="shared" si="1"/>
        <v>0</v>
      </c>
      <c r="D29" s="477"/>
      <c r="E29" s="470" t="s">
        <v>21</v>
      </c>
      <c r="F29" s="486"/>
      <c r="G29" s="485"/>
      <c r="H29" s="116"/>
      <c r="I29" s="127"/>
      <c r="K29" s="115"/>
    </row>
    <row r="30" spans="1:11" s="114" customFormat="1" ht="14.25">
      <c r="A30" s="125"/>
      <c r="B30" s="126"/>
      <c r="C30" s="497">
        <f t="shared" si="1"/>
        <v>2659200000</v>
      </c>
      <c r="D30" s="479">
        <v>2659200000</v>
      </c>
      <c r="E30" s="470" t="s">
        <v>794</v>
      </c>
      <c r="F30" s="481"/>
      <c r="G30" s="485"/>
      <c r="H30" s="116"/>
      <c r="I30" s="127"/>
      <c r="K30" s="115"/>
    </row>
    <row r="31" spans="1:11" s="114" customFormat="1" ht="14.25">
      <c r="A31" s="125"/>
      <c r="B31" s="126"/>
      <c r="C31" s="497">
        <f t="shared" si="1"/>
        <v>2020541708</v>
      </c>
      <c r="D31" s="537">
        <f>+ocs합잔!E39+18071553</f>
        <v>2020641708</v>
      </c>
      <c r="E31" s="470" t="s">
        <v>795</v>
      </c>
      <c r="F31" s="481">
        <f>+ocs합잔!F39</f>
        <v>100000</v>
      </c>
      <c r="G31" s="485"/>
      <c r="H31" s="116"/>
      <c r="I31" s="127"/>
      <c r="K31" s="115"/>
    </row>
    <row r="32" spans="1:11" s="114" customFormat="1" ht="14.25">
      <c r="A32" s="125"/>
      <c r="B32" s="126"/>
      <c r="C32" s="497">
        <f t="shared" si="1"/>
        <v>1100000</v>
      </c>
      <c r="D32" s="479">
        <f>+ocs합잔!E40</f>
        <v>1100000</v>
      </c>
      <c r="E32" s="470" t="s">
        <v>796</v>
      </c>
      <c r="F32" s="481">
        <f>+ocs합잔!F40</f>
        <v>0</v>
      </c>
      <c r="G32" s="485"/>
      <c r="H32" s="116"/>
      <c r="I32" s="127"/>
      <c r="K32" s="115"/>
    </row>
    <row r="33" spans="1:11" s="114" customFormat="1" ht="13.5">
      <c r="A33" s="193"/>
      <c r="B33" s="108"/>
      <c r="C33" s="497">
        <f t="shared" si="1"/>
        <v>752911500</v>
      </c>
      <c r="D33" s="479">
        <f>+ocs합잔!E41</f>
        <v>752911500</v>
      </c>
      <c r="E33" s="470" t="s">
        <v>813</v>
      </c>
      <c r="F33" s="480">
        <f>+ocs합잔!F41</f>
        <v>0</v>
      </c>
      <c r="G33" s="485"/>
      <c r="H33" s="112"/>
      <c r="I33" s="113"/>
      <c r="K33" s="115"/>
    </row>
    <row r="34" spans="1:11" s="114" customFormat="1" ht="13.5">
      <c r="A34" s="193"/>
      <c r="B34" s="108"/>
      <c r="C34" s="497">
        <f t="shared" si="1"/>
        <v>0</v>
      </c>
      <c r="D34" s="479">
        <f>+ocs합잔!E46</f>
        <v>0</v>
      </c>
      <c r="E34" s="470" t="s">
        <v>22</v>
      </c>
      <c r="F34" s="480">
        <f>+ocs합잔!F46</f>
        <v>0</v>
      </c>
      <c r="G34" s="485"/>
      <c r="H34" s="112"/>
      <c r="I34" s="113"/>
      <c r="K34" s="115"/>
    </row>
    <row r="35" spans="1:11" s="114" customFormat="1" ht="13.5">
      <c r="A35" s="193"/>
      <c r="B35" s="108"/>
      <c r="C35" s="497">
        <f t="shared" si="1"/>
        <v>220234000</v>
      </c>
      <c r="D35" s="479">
        <f>+ocs합잔!E47</f>
        <v>220234000</v>
      </c>
      <c r="E35" s="470" t="s">
        <v>23</v>
      </c>
      <c r="F35" s="480">
        <f>+ocs합잔!F47</f>
        <v>0</v>
      </c>
      <c r="G35" s="485"/>
      <c r="H35" s="112"/>
      <c r="I35" s="113"/>
      <c r="K35" s="115"/>
    </row>
    <row r="36" spans="1:11" s="114" customFormat="1" ht="13.5">
      <c r="A36" s="193"/>
      <c r="B36" s="108"/>
      <c r="C36" s="497">
        <f t="shared" si="1"/>
        <v>24042651</v>
      </c>
      <c r="D36" s="479">
        <f>+ocs합잔!E48</f>
        <v>24042651</v>
      </c>
      <c r="E36" s="470" t="s">
        <v>24</v>
      </c>
      <c r="F36" s="480">
        <f>+ocs합잔!F48</f>
        <v>0</v>
      </c>
      <c r="G36" s="485"/>
      <c r="H36" s="112"/>
      <c r="I36" s="113"/>
      <c r="K36" s="115"/>
    </row>
    <row r="37" spans="1:11" s="114" customFormat="1" ht="13.5">
      <c r="A37" s="193"/>
      <c r="B37" s="108"/>
      <c r="C37" s="497">
        <f t="shared" si="1"/>
        <v>14000000</v>
      </c>
      <c r="D37" s="479">
        <f>+ocs합잔!E50</f>
        <v>14000000</v>
      </c>
      <c r="E37" s="470" t="s">
        <v>25</v>
      </c>
      <c r="F37" s="480">
        <f>+ocs합잔!F50</f>
        <v>0</v>
      </c>
      <c r="G37" s="485"/>
      <c r="H37" s="112"/>
      <c r="I37" s="113"/>
      <c r="K37" s="115"/>
    </row>
    <row r="38" spans="1:11" s="114" customFormat="1" ht="13.5">
      <c r="A38" s="428"/>
      <c r="B38" s="108"/>
      <c r="C38" s="497">
        <f t="shared" si="1"/>
        <v>54011527248</v>
      </c>
      <c r="D38" s="479">
        <f>+ocs합잔!E53</f>
        <v>54020278677</v>
      </c>
      <c r="E38" s="470" t="s">
        <v>26</v>
      </c>
      <c r="F38" s="491">
        <f>+ocs합잔!F53</f>
        <v>8751429</v>
      </c>
      <c r="G38" s="492"/>
      <c r="H38" s="112"/>
      <c r="I38" s="113"/>
      <c r="K38" s="115"/>
    </row>
    <row r="39" spans="1:11" s="114" customFormat="1" ht="13.5">
      <c r="A39" s="428"/>
      <c r="B39" s="108"/>
      <c r="C39" s="497">
        <f t="shared" si="1"/>
        <v>136694666319</v>
      </c>
      <c r="D39" s="533">
        <f>+ocs합잔!E54</f>
        <v>136722199990</v>
      </c>
      <c r="E39" s="470" t="s">
        <v>27</v>
      </c>
      <c r="F39" s="491">
        <f>+ocs합잔!F54</f>
        <v>27533671</v>
      </c>
      <c r="G39" s="492"/>
      <c r="H39" s="112"/>
      <c r="I39" s="113"/>
      <c r="K39" s="115"/>
    </row>
    <row r="40" spans="1:11" s="114" customFormat="1" ht="13.5">
      <c r="A40" s="428"/>
      <c r="B40" s="108"/>
      <c r="C40" s="497"/>
      <c r="D40" s="479">
        <f>+ocs합잔!E83</f>
        <v>85374000</v>
      </c>
      <c r="E40" s="470" t="s">
        <v>763</v>
      </c>
      <c r="F40" s="491">
        <f>+ocs합잔!F83</f>
        <v>2341385334</v>
      </c>
      <c r="G40" s="492">
        <f>+F40-D40</f>
        <v>2256011334</v>
      </c>
      <c r="H40" s="112"/>
      <c r="I40" s="113"/>
      <c r="K40" s="115"/>
    </row>
    <row r="41" spans="1:11" s="114" customFormat="1" ht="13.5">
      <c r="A41" s="428"/>
      <c r="B41" s="108"/>
      <c r="C41" s="497">
        <f t="shared" si="1"/>
        <v>0</v>
      </c>
      <c r="E41" s="470" t="s">
        <v>28</v>
      </c>
      <c r="G41" s="492"/>
      <c r="H41" s="112"/>
      <c r="I41" s="113"/>
      <c r="K41" s="115"/>
    </row>
    <row r="42" spans="1:11" s="114" customFormat="1" ht="13.5">
      <c r="A42" s="428"/>
      <c r="B42" s="108"/>
      <c r="C42" s="497">
        <f t="shared" si="1"/>
        <v>1955599236</v>
      </c>
      <c r="D42" s="479">
        <f>+ocs합잔!E56</f>
        <v>1955599236</v>
      </c>
      <c r="E42" s="470" t="s">
        <v>29</v>
      </c>
      <c r="F42" s="491">
        <f>+ocs합잔!F56</f>
        <v>0</v>
      </c>
      <c r="G42" s="492"/>
      <c r="H42" s="112"/>
      <c r="I42" s="113"/>
      <c r="K42" s="115"/>
    </row>
    <row r="43" spans="1:11" s="114" customFormat="1" ht="13.5">
      <c r="A43" s="428"/>
      <c r="B43" s="108"/>
      <c r="C43" s="497">
        <f t="shared" si="1"/>
        <v>99763314631</v>
      </c>
      <c r="D43" s="479">
        <f>+ocs합잔!E57</f>
        <v>99763314631</v>
      </c>
      <c r="E43" s="470" t="s">
        <v>30</v>
      </c>
      <c r="F43" s="491">
        <f>+ocs합잔!F57</f>
        <v>0</v>
      </c>
      <c r="G43" s="492"/>
      <c r="H43" s="112"/>
      <c r="I43" s="113"/>
      <c r="K43" s="115"/>
    </row>
    <row r="44" spans="1:11" s="114" customFormat="1" ht="13.5">
      <c r="A44" s="428"/>
      <c r="B44" s="108"/>
      <c r="C44" s="497"/>
      <c r="D44" s="158">
        <f>+ocs합잔!E86</f>
        <v>507878686</v>
      </c>
      <c r="E44" s="470" t="s">
        <v>765</v>
      </c>
      <c r="F44" s="158">
        <f>+ocs합잔!F86</f>
        <v>898565492</v>
      </c>
      <c r="G44" s="492">
        <f>+F44-D44</f>
        <v>390686806</v>
      </c>
      <c r="H44" s="112"/>
      <c r="I44" s="113"/>
      <c r="K44" s="115"/>
    </row>
    <row r="45" spans="1:11" s="114" customFormat="1" ht="13.5">
      <c r="A45" s="428"/>
      <c r="B45" s="108"/>
      <c r="C45" s="497">
        <f t="shared" si="1"/>
        <v>741260074</v>
      </c>
      <c r="D45" s="479">
        <f>+ocs합잔!E58</f>
        <v>774510074</v>
      </c>
      <c r="E45" s="470" t="s">
        <v>31</v>
      </c>
      <c r="F45" s="491">
        <f>+ocs합잔!F58</f>
        <v>33250000</v>
      </c>
      <c r="G45" s="492"/>
      <c r="H45" s="112"/>
      <c r="I45" s="113"/>
      <c r="K45" s="115"/>
    </row>
    <row r="46" spans="1:11" s="114" customFormat="1" ht="13.5">
      <c r="A46" s="428"/>
      <c r="B46" s="108"/>
      <c r="C46" s="497">
        <f t="shared" si="1"/>
        <v>19606621448</v>
      </c>
      <c r="D46" s="479">
        <f>+ocs합잔!E59</f>
        <v>19951866373</v>
      </c>
      <c r="E46" s="470" t="s">
        <v>32</v>
      </c>
      <c r="F46" s="491">
        <f>+ocs합잔!F59</f>
        <v>345244925</v>
      </c>
      <c r="G46" s="485"/>
      <c r="H46" s="112"/>
      <c r="I46" s="113"/>
      <c r="K46" s="115"/>
    </row>
    <row r="47" spans="1:11" s="114" customFormat="1" ht="13.5">
      <c r="A47" s="431"/>
      <c r="B47" s="108"/>
      <c r="C47" s="497"/>
      <c r="D47" s="479">
        <f>+ocs합잔!E88</f>
        <v>14333479</v>
      </c>
      <c r="E47" s="470" t="s">
        <v>767</v>
      </c>
      <c r="F47" s="491">
        <f>+ocs합잔!F88</f>
        <v>27146749</v>
      </c>
      <c r="G47" s="492">
        <f>+F47-D47</f>
        <v>12813270</v>
      </c>
      <c r="H47" s="112"/>
      <c r="I47" s="113"/>
      <c r="K47" s="115"/>
    </row>
    <row r="48" spans="1:11" s="114" customFormat="1" ht="13.5">
      <c r="A48" s="193"/>
      <c r="B48" s="108"/>
      <c r="C48" s="497">
        <f t="shared" si="1"/>
        <v>0</v>
      </c>
      <c r="D48" s="479">
        <f>+ocs합잔!E61</f>
        <v>0</v>
      </c>
      <c r="E48" s="470" t="s">
        <v>33</v>
      </c>
      <c r="F48" s="491">
        <f>+ocs합잔!F61</f>
        <v>0</v>
      </c>
      <c r="G48" s="485"/>
      <c r="H48" s="112"/>
      <c r="I48" s="113"/>
      <c r="K48" s="115"/>
    </row>
    <row r="49" spans="1:11" s="114" customFormat="1" ht="13.5">
      <c r="A49" s="428"/>
      <c r="B49" s="108"/>
      <c r="C49" s="497">
        <f t="shared" si="1"/>
        <v>473980000</v>
      </c>
      <c r="D49" s="479">
        <f>+ocs합잔!E62</f>
        <v>4256713980</v>
      </c>
      <c r="E49" s="501" t="s">
        <v>34</v>
      </c>
      <c r="F49" s="491">
        <f>+ocs합잔!F62</f>
        <v>3782733980</v>
      </c>
      <c r="G49" s="492"/>
      <c r="H49" s="112"/>
      <c r="I49" s="113"/>
      <c r="K49" s="115"/>
    </row>
    <row r="50" spans="1:11" s="114" customFormat="1" ht="13.5">
      <c r="A50" s="419"/>
      <c r="B50" s="108"/>
      <c r="C50" s="497">
        <f t="shared" si="1"/>
        <v>748348648</v>
      </c>
      <c r="D50" s="479">
        <f>+ocs합잔!E63</f>
        <v>841042084</v>
      </c>
      <c r="E50" s="501" t="s">
        <v>752</v>
      </c>
      <c r="F50" s="491">
        <f>+ocs합잔!F63</f>
        <v>92693436</v>
      </c>
      <c r="G50" s="492"/>
      <c r="H50" s="112"/>
      <c r="I50" s="113"/>
      <c r="K50" s="115"/>
    </row>
    <row r="51" spans="1:11" s="114" customFormat="1" ht="13.5">
      <c r="A51" s="193"/>
      <c r="B51" s="108"/>
      <c r="C51" s="497">
        <f t="shared" si="1"/>
        <v>0</v>
      </c>
      <c r="D51" s="479">
        <f>+ocs합잔!E64</f>
        <v>0</v>
      </c>
      <c r="E51" s="501" t="s">
        <v>35</v>
      </c>
      <c r="F51" s="491">
        <f>+ocs합잔!F64</f>
        <v>0</v>
      </c>
      <c r="G51" s="492"/>
      <c r="H51" s="112"/>
      <c r="I51" s="113"/>
      <c r="K51" s="115"/>
    </row>
    <row r="52" spans="1:11" s="114" customFormat="1" ht="13.5">
      <c r="A52" s="193"/>
      <c r="B52" s="108"/>
      <c r="C52" s="497">
        <f t="shared" si="1"/>
        <v>0</v>
      </c>
      <c r="D52" s="479">
        <f>+ocs합잔!E65</f>
        <v>0</v>
      </c>
      <c r="E52" s="501" t="s">
        <v>36</v>
      </c>
      <c r="F52" s="491">
        <f>+ocs합잔!F65</f>
        <v>0</v>
      </c>
      <c r="G52" s="492"/>
      <c r="H52" s="112"/>
      <c r="I52" s="113"/>
      <c r="K52" s="115"/>
    </row>
    <row r="53" spans="1:11" s="114" customFormat="1" ht="13.5">
      <c r="A53" s="193"/>
      <c r="B53" s="108"/>
      <c r="C53" s="497"/>
      <c r="D53" s="494">
        <f>+ocs합잔!E69</f>
        <v>65837270540</v>
      </c>
      <c r="E53" s="501" t="s">
        <v>675</v>
      </c>
      <c r="F53" s="494">
        <f>+ocs합잔!F69</f>
        <v>76045160633</v>
      </c>
      <c r="G53" s="492">
        <f>F53-D53</f>
        <v>10207890093</v>
      </c>
      <c r="H53" s="112"/>
      <c r="I53" s="113"/>
      <c r="K53" s="115"/>
    </row>
    <row r="54" spans="1:11" s="114" customFormat="1" ht="13.5">
      <c r="A54" s="193"/>
      <c r="B54" s="108"/>
      <c r="C54" s="497"/>
      <c r="D54" s="494">
        <f>+ocs합잔!E70</f>
        <v>60643590683</v>
      </c>
      <c r="E54" s="501" t="s">
        <v>37</v>
      </c>
      <c r="F54" s="494">
        <f>+ocs합잔!F70</f>
        <v>79011065183</v>
      </c>
      <c r="G54" s="492">
        <f aca="true" t="shared" si="2" ref="G54:G69">F54-D54</f>
        <v>18367474500</v>
      </c>
      <c r="H54" s="112"/>
      <c r="I54" s="113"/>
      <c r="K54" s="115"/>
    </row>
    <row r="55" spans="1:11" s="114" customFormat="1" ht="13.5">
      <c r="A55" s="193"/>
      <c r="B55" s="108"/>
      <c r="C55" s="497"/>
      <c r="D55" s="494">
        <f>+ocs합잔!E71</f>
        <v>23560309477</v>
      </c>
      <c r="E55" s="501" t="s">
        <v>38</v>
      </c>
      <c r="F55" s="494">
        <f>+ocs합잔!F71</f>
        <v>25176558940</v>
      </c>
      <c r="G55" s="492">
        <f>F55-D55</f>
        <v>1616249463</v>
      </c>
      <c r="H55" s="112"/>
      <c r="I55" s="113"/>
      <c r="K55" s="115"/>
    </row>
    <row r="56" spans="1:11" s="114" customFormat="1" ht="13.5">
      <c r="A56" s="193"/>
      <c r="B56" s="108"/>
      <c r="C56" s="497"/>
      <c r="D56" s="494">
        <f>+ocs합잔!E72</f>
        <v>0</v>
      </c>
      <c r="E56" s="501" t="s">
        <v>39</v>
      </c>
      <c r="F56" s="494">
        <f>+ocs합잔!F72</f>
        <v>0</v>
      </c>
      <c r="G56" s="492">
        <f aca="true" t="shared" si="3" ref="G56:G61">F56-D56</f>
        <v>0</v>
      </c>
      <c r="H56" s="112"/>
      <c r="I56" s="113"/>
      <c r="K56" s="115"/>
    </row>
    <row r="57" spans="1:11" s="114" customFormat="1" ht="13.5">
      <c r="A57" s="193"/>
      <c r="B57" s="108"/>
      <c r="C57" s="497"/>
      <c r="E57" s="501" t="s">
        <v>40</v>
      </c>
      <c r="G57" s="492">
        <f t="shared" si="3"/>
        <v>0</v>
      </c>
      <c r="H57" s="112"/>
      <c r="I57" s="113"/>
      <c r="K57" s="115"/>
    </row>
    <row r="58" spans="1:11" s="114" customFormat="1" ht="13.5">
      <c r="A58" s="193"/>
      <c r="B58" s="108"/>
      <c r="C58" s="498"/>
      <c r="D58" s="494"/>
      <c r="E58" s="501" t="s">
        <v>41</v>
      </c>
      <c r="F58" s="494"/>
      <c r="G58" s="492">
        <f t="shared" si="3"/>
        <v>0</v>
      </c>
      <c r="H58" s="112"/>
      <c r="I58" s="113"/>
      <c r="K58" s="115"/>
    </row>
    <row r="59" spans="1:11" s="114" customFormat="1" ht="13.5">
      <c r="A59" s="193"/>
      <c r="B59" s="108"/>
      <c r="C59" s="497"/>
      <c r="D59" s="494"/>
      <c r="E59" s="501" t="s">
        <v>42</v>
      </c>
      <c r="F59" s="494"/>
      <c r="G59" s="492">
        <f t="shared" si="3"/>
        <v>0</v>
      </c>
      <c r="H59" s="112"/>
      <c r="I59" s="113"/>
      <c r="K59" s="115"/>
    </row>
    <row r="60" spans="1:11" s="114" customFormat="1" ht="13.5">
      <c r="A60" s="193"/>
      <c r="B60" s="108"/>
      <c r="C60" s="497"/>
      <c r="D60" s="494">
        <f>+ocs합잔!O73+ocs합잔!O75</f>
        <v>14774072813</v>
      </c>
      <c r="E60" s="501" t="s">
        <v>43</v>
      </c>
      <c r="F60" s="494">
        <f>+ocs합잔!N73+ocs합잔!P73+ocs합잔!N75</f>
        <v>15249131089</v>
      </c>
      <c r="G60" s="492">
        <f t="shared" si="3"/>
        <v>475058276</v>
      </c>
      <c r="H60" s="112"/>
      <c r="I60" s="113"/>
      <c r="K60" s="115"/>
    </row>
    <row r="61" spans="1:11" s="114" customFormat="1" ht="13.5">
      <c r="A61" s="193"/>
      <c r="B61" s="108"/>
      <c r="C61" s="497"/>
      <c r="D61" s="494">
        <f>+ocs합잔!E74</f>
        <v>16170264618</v>
      </c>
      <c r="E61" s="501" t="s">
        <v>44</v>
      </c>
      <c r="F61" s="494">
        <f>+ocs합잔!F74</f>
        <v>16933928573</v>
      </c>
      <c r="G61" s="492">
        <f t="shared" si="3"/>
        <v>763663955</v>
      </c>
      <c r="H61" s="112"/>
      <c r="I61" s="113"/>
      <c r="K61" s="115"/>
    </row>
    <row r="62" spans="1:11" s="114" customFormat="1" ht="14.25" thickBot="1">
      <c r="A62" s="194"/>
      <c r="B62" s="195"/>
      <c r="C62" s="499"/>
      <c r="D62" s="503"/>
      <c r="E62" s="504" t="s">
        <v>45</v>
      </c>
      <c r="F62" s="505"/>
      <c r="G62" s="506">
        <f t="shared" si="2"/>
        <v>0</v>
      </c>
      <c r="H62" s="194"/>
      <c r="I62" s="195"/>
      <c r="K62" s="115"/>
    </row>
    <row r="63" spans="1:11" s="114" customFormat="1" ht="13.5">
      <c r="A63" s="196"/>
      <c r="B63" s="197"/>
      <c r="C63" s="497"/>
      <c r="D63" s="494">
        <f>+ocs합잔!E75</f>
        <v>929451256</v>
      </c>
      <c r="E63" s="501" t="s">
        <v>676</v>
      </c>
      <c r="F63" s="494">
        <f>+ocs합잔!F75</f>
        <v>1850353496</v>
      </c>
      <c r="G63" s="492">
        <f t="shared" si="2"/>
        <v>920902240</v>
      </c>
      <c r="H63" s="196"/>
      <c r="I63" s="197"/>
      <c r="K63" s="115"/>
    </row>
    <row r="64" spans="1:11" s="114" customFormat="1" ht="13.5">
      <c r="A64" s="196"/>
      <c r="B64" s="197"/>
      <c r="C64" s="497"/>
      <c r="D64" s="502"/>
      <c r="E64" s="501" t="s">
        <v>46</v>
      </c>
      <c r="F64" s="495"/>
      <c r="G64" s="492">
        <f t="shared" si="2"/>
        <v>0</v>
      </c>
      <c r="H64" s="196"/>
      <c r="I64" s="197"/>
      <c r="K64" s="115"/>
    </row>
    <row r="65" spans="1:11" s="114" customFormat="1" ht="13.5">
      <c r="A65" s="193"/>
      <c r="B65" s="108"/>
      <c r="C65" s="497"/>
      <c r="D65" s="502">
        <f>+ocs합잔!O74</f>
        <v>0</v>
      </c>
      <c r="E65" s="501" t="s">
        <v>47</v>
      </c>
      <c r="F65" s="495">
        <f>+ocs합잔!N74+ocs합잔!P74</f>
        <v>3113000000</v>
      </c>
      <c r="G65" s="492">
        <f t="shared" si="2"/>
        <v>3113000000</v>
      </c>
      <c r="H65" s="112"/>
      <c r="I65" s="113"/>
      <c r="K65" s="115"/>
    </row>
    <row r="66" spans="1:11" s="114" customFormat="1" ht="13.5">
      <c r="A66" s="193"/>
      <c r="B66" s="108"/>
      <c r="C66" s="497"/>
      <c r="D66" s="502">
        <f>+ocs합잔!E78</f>
        <v>0</v>
      </c>
      <c r="E66" s="501" t="s">
        <v>48</v>
      </c>
      <c r="F66" s="494">
        <f>+ocs합잔!F78</f>
        <v>294634789</v>
      </c>
      <c r="G66" s="492">
        <f t="shared" si="2"/>
        <v>294634789</v>
      </c>
      <c r="H66" s="112"/>
      <c r="I66" s="113"/>
      <c r="K66" s="115"/>
    </row>
    <row r="67" spans="1:11" s="114" customFormat="1" ht="13.5">
      <c r="A67" s="193"/>
      <c r="B67" s="108"/>
      <c r="C67" s="497"/>
      <c r="D67" s="502"/>
      <c r="E67" s="501" t="s">
        <v>49</v>
      </c>
      <c r="F67" s="495"/>
      <c r="G67" s="492">
        <f t="shared" si="2"/>
        <v>0</v>
      </c>
      <c r="H67" s="112"/>
      <c r="I67" s="113"/>
      <c r="K67" s="115"/>
    </row>
    <row r="68" spans="1:11" s="114" customFormat="1" ht="13.5">
      <c r="A68" s="193"/>
      <c r="B68" s="108"/>
      <c r="C68" s="497"/>
      <c r="D68" s="502"/>
      <c r="E68" s="501" t="s">
        <v>707</v>
      </c>
      <c r="F68" s="495"/>
      <c r="G68" s="492">
        <f t="shared" si="2"/>
        <v>0</v>
      </c>
      <c r="H68" s="112"/>
      <c r="I68" s="113"/>
      <c r="K68" s="115"/>
    </row>
    <row r="69" spans="1:11" s="114" customFormat="1" ht="13.5">
      <c r="A69" s="193"/>
      <c r="B69" s="108"/>
      <c r="C69" s="497"/>
      <c r="D69" s="502"/>
      <c r="E69" s="501" t="s">
        <v>50</v>
      </c>
      <c r="F69" s="495"/>
      <c r="G69" s="492">
        <f t="shared" si="2"/>
        <v>0</v>
      </c>
      <c r="H69" s="112"/>
      <c r="I69" s="113"/>
      <c r="K69" s="115"/>
    </row>
    <row r="70" spans="1:11" s="114" customFormat="1" ht="13.5">
      <c r="A70" s="193"/>
      <c r="B70" s="108"/>
      <c r="C70" s="497"/>
      <c r="D70" s="493"/>
      <c r="E70" s="501" t="s">
        <v>51</v>
      </c>
      <c r="F70" s="493"/>
      <c r="G70" s="492">
        <f aca="true" t="shared" si="4" ref="G70:G88">F70-D70</f>
        <v>0</v>
      </c>
      <c r="H70" s="112"/>
      <c r="I70" s="113"/>
      <c r="K70" s="115"/>
    </row>
    <row r="71" spans="1:11" s="114" customFormat="1" ht="13.5">
      <c r="A71" s="193"/>
      <c r="B71" s="108"/>
      <c r="C71" s="497"/>
      <c r="D71" s="493"/>
      <c r="E71" s="501" t="s">
        <v>52</v>
      </c>
      <c r="F71" s="493"/>
      <c r="G71" s="492">
        <f t="shared" si="4"/>
        <v>0</v>
      </c>
      <c r="H71" s="112"/>
      <c r="I71" s="113"/>
      <c r="K71" s="115"/>
    </row>
    <row r="72" spans="1:11" s="114" customFormat="1" ht="13.5">
      <c r="A72" s="193"/>
      <c r="B72" s="108"/>
      <c r="C72" s="497"/>
      <c r="D72" s="493"/>
      <c r="E72" s="501" t="s">
        <v>53</v>
      </c>
      <c r="F72" s="493"/>
      <c r="G72" s="492">
        <f t="shared" si="4"/>
        <v>0</v>
      </c>
      <c r="H72" s="112"/>
      <c r="I72" s="113"/>
      <c r="K72" s="115"/>
    </row>
    <row r="73" spans="1:11" s="114" customFormat="1" ht="13.5">
      <c r="A73" s="193"/>
      <c r="B73" s="108"/>
      <c r="C73" s="497"/>
      <c r="D73" s="493"/>
      <c r="E73" s="501" t="s">
        <v>54</v>
      </c>
      <c r="F73" s="493"/>
      <c r="G73" s="492">
        <f t="shared" si="4"/>
        <v>0</v>
      </c>
      <c r="H73" s="112"/>
      <c r="I73" s="113"/>
      <c r="K73" s="115"/>
    </row>
    <row r="74" spans="1:11" s="114" customFormat="1" ht="13.5">
      <c r="A74" s="193"/>
      <c r="B74" s="108"/>
      <c r="C74" s="497"/>
      <c r="D74" s="494">
        <f>+ocs합잔!E95</f>
        <v>281601877</v>
      </c>
      <c r="E74" s="501" t="s">
        <v>677</v>
      </c>
      <c r="F74" s="533">
        <f>+ocs합잔!F95</f>
        <v>145582807034</v>
      </c>
      <c r="G74" s="492">
        <f t="shared" si="4"/>
        <v>145301205157</v>
      </c>
      <c r="H74" s="112"/>
      <c r="I74" s="113"/>
      <c r="K74" s="115"/>
    </row>
    <row r="75" spans="1:11" s="114" customFormat="1" ht="13.5">
      <c r="A75" s="193"/>
      <c r="B75" s="108"/>
      <c r="C75" s="497"/>
      <c r="D75" s="494">
        <f>+ocs합잔!E96</f>
        <v>617555580</v>
      </c>
      <c r="E75" s="501" t="s">
        <v>55</v>
      </c>
      <c r="F75" s="494">
        <f>+ocs합잔!F96</f>
        <v>961277729</v>
      </c>
      <c r="G75" s="492">
        <f t="shared" si="4"/>
        <v>343722149</v>
      </c>
      <c r="H75" s="112"/>
      <c r="I75" s="113"/>
      <c r="K75" s="115"/>
    </row>
    <row r="76" spans="1:11" s="114" customFormat="1" ht="13.5">
      <c r="A76" s="193"/>
      <c r="B76" s="108"/>
      <c r="C76" s="497"/>
      <c r="D76" s="494">
        <f>+ocs합잔!E97</f>
        <v>0</v>
      </c>
      <c r="E76" s="501" t="s">
        <v>678</v>
      </c>
      <c r="F76" s="494">
        <f>+ocs합잔!F97</f>
        <v>24042651</v>
      </c>
      <c r="G76" s="492">
        <f t="shared" si="4"/>
        <v>24042651</v>
      </c>
      <c r="H76" s="112"/>
      <c r="I76" s="113"/>
      <c r="K76" s="115"/>
    </row>
    <row r="77" spans="1:11" s="114" customFormat="1" ht="13.5">
      <c r="A77" s="193"/>
      <c r="B77" s="108"/>
      <c r="C77" s="497"/>
      <c r="D77" s="494">
        <f>+ocs합잔!E99</f>
        <v>2239663279</v>
      </c>
      <c r="E77" s="501" t="s">
        <v>679</v>
      </c>
      <c r="F77" s="494">
        <f>+ocs합잔!F99</f>
        <v>74256963258</v>
      </c>
      <c r="G77" s="492">
        <f>F77-D77</f>
        <v>72017299979</v>
      </c>
      <c r="H77" s="112"/>
      <c r="I77" s="113"/>
      <c r="K77" s="115"/>
    </row>
    <row r="78" spans="1:11" s="114" customFormat="1" ht="13.5">
      <c r="A78" s="193"/>
      <c r="B78" s="108"/>
      <c r="C78" s="497"/>
      <c r="D78" s="533">
        <f>+ocs합잔!E101</f>
        <v>25566371491</v>
      </c>
      <c r="E78" s="501" t="s">
        <v>56</v>
      </c>
      <c r="F78" s="491">
        <f>+ocs합잔!F101</f>
        <v>318851904580</v>
      </c>
      <c r="G78" s="492">
        <f t="shared" si="4"/>
        <v>293285533089</v>
      </c>
      <c r="H78" s="112"/>
      <c r="I78" s="113"/>
      <c r="K78" s="115"/>
    </row>
    <row r="79" spans="1:11" s="114" customFormat="1" ht="13.5">
      <c r="A79" s="193"/>
      <c r="B79" s="108"/>
      <c r="C79" s="497"/>
      <c r="D79" s="493"/>
      <c r="E79" s="501" t="s">
        <v>57</v>
      </c>
      <c r="F79" s="494"/>
      <c r="G79" s="492">
        <f t="shared" si="4"/>
        <v>0</v>
      </c>
      <c r="H79" s="112"/>
      <c r="I79" s="113"/>
      <c r="K79" s="115"/>
    </row>
    <row r="80" spans="1:11" s="114" customFormat="1" ht="13.5">
      <c r="A80" s="193"/>
      <c r="B80" s="108"/>
      <c r="C80" s="497"/>
      <c r="D80" s="533">
        <f>+ocs합잔!E103</f>
        <v>58425639289</v>
      </c>
      <c r="E80" s="501" t="s">
        <v>58</v>
      </c>
      <c r="F80" s="494">
        <f>+ocs합잔!F103</f>
        <v>31953452995</v>
      </c>
      <c r="G80" s="492">
        <f t="shared" si="4"/>
        <v>-26472186294</v>
      </c>
      <c r="H80" s="112"/>
      <c r="I80" s="113"/>
      <c r="K80" s="115"/>
    </row>
    <row r="81" spans="1:11" s="114" customFormat="1" ht="13.5">
      <c r="A81" s="193"/>
      <c r="B81" s="108"/>
      <c r="C81" s="497"/>
      <c r="D81" s="494"/>
      <c r="E81" s="501" t="s">
        <v>749</v>
      </c>
      <c r="F81" s="494"/>
      <c r="G81" s="492">
        <f t="shared" si="4"/>
        <v>0</v>
      </c>
      <c r="H81" s="112"/>
      <c r="I81" s="113"/>
      <c r="K81" s="115"/>
    </row>
    <row r="82" spans="1:11" s="114" customFormat="1" ht="13.5">
      <c r="A82" s="193"/>
      <c r="B82" s="108"/>
      <c r="C82" s="497"/>
      <c r="D82" s="493"/>
      <c r="E82" s="501" t="s">
        <v>59</v>
      </c>
      <c r="F82" s="493"/>
      <c r="G82" s="492">
        <f t="shared" si="4"/>
        <v>0</v>
      </c>
      <c r="H82" s="112"/>
      <c r="I82" s="113"/>
      <c r="K82" s="115"/>
    </row>
    <row r="83" spans="1:11" s="114" customFormat="1" ht="13.5">
      <c r="A83" s="193"/>
      <c r="B83" s="108"/>
      <c r="C83" s="497"/>
      <c r="D83" s="493"/>
      <c r="E83" s="501" t="s">
        <v>60</v>
      </c>
      <c r="F83" s="493"/>
      <c r="G83" s="492">
        <f t="shared" si="4"/>
        <v>0</v>
      </c>
      <c r="H83" s="112"/>
      <c r="I83" s="113"/>
      <c r="K83" s="115"/>
    </row>
    <row r="84" spans="1:11" s="114" customFormat="1" ht="13.5">
      <c r="A84" s="193"/>
      <c r="B84" s="108"/>
      <c r="C84" s="497"/>
      <c r="D84" s="493">
        <f>+ocs합잔!E112</f>
        <v>0</v>
      </c>
      <c r="E84" s="501" t="s">
        <v>61</v>
      </c>
      <c r="F84" s="507">
        <f>+ocs합잔!F112</f>
        <v>-15117749254</v>
      </c>
      <c r="G84" s="492">
        <f t="shared" si="4"/>
        <v>-15117749254</v>
      </c>
      <c r="H84" s="112"/>
      <c r="I84" s="113"/>
      <c r="K84" s="115"/>
    </row>
    <row r="85" spans="1:11" s="114" customFormat="1" ht="13.5">
      <c r="A85" s="193"/>
      <c r="B85" s="108"/>
      <c r="C85" s="497">
        <f>D85</f>
        <v>0</v>
      </c>
      <c r="D85" s="493">
        <f>+ocs합잔!E118</f>
        <v>0</v>
      </c>
      <c r="E85" s="501" t="s">
        <v>62</v>
      </c>
      <c r="F85" s="494">
        <f>+ocs합잔!F118</f>
        <v>126722562939</v>
      </c>
      <c r="G85" s="492">
        <f t="shared" si="4"/>
        <v>126722562939</v>
      </c>
      <c r="H85" s="112"/>
      <c r="I85" s="198"/>
      <c r="K85" s="115"/>
    </row>
    <row r="86" spans="1:11" s="114" customFormat="1" ht="13.5">
      <c r="A86" s="193"/>
      <c r="B86" s="108"/>
      <c r="C86" s="497">
        <f>D86</f>
        <v>0</v>
      </c>
      <c r="D86" s="493">
        <f>+ocs합잔!E119</f>
        <v>0</v>
      </c>
      <c r="E86" s="501" t="s">
        <v>63</v>
      </c>
      <c r="F86" s="494">
        <f>+ocs합잔!F119</f>
        <v>63941615338</v>
      </c>
      <c r="G86" s="492">
        <f t="shared" si="4"/>
        <v>63941615338</v>
      </c>
      <c r="H86" s="112"/>
      <c r="I86" s="198"/>
      <c r="K86" s="115"/>
    </row>
    <row r="87" spans="1:11" s="114" customFormat="1" ht="13.5">
      <c r="A87" s="193"/>
      <c r="B87" s="108"/>
      <c r="C87" s="497">
        <f>D87</f>
        <v>0</v>
      </c>
      <c r="D87" s="493">
        <f>+ocs합잔!E120</f>
        <v>0</v>
      </c>
      <c r="E87" s="501" t="s">
        <v>64</v>
      </c>
      <c r="F87" s="494">
        <f>+ocs합잔!F120</f>
        <v>10465730556</v>
      </c>
      <c r="G87" s="492">
        <f t="shared" si="4"/>
        <v>10465730556</v>
      </c>
      <c r="H87" s="112"/>
      <c r="I87" s="198"/>
      <c r="K87" s="115"/>
    </row>
    <row r="88" spans="1:11" s="114" customFormat="1" ht="13.5">
      <c r="A88" s="193"/>
      <c r="B88" s="108"/>
      <c r="C88" s="497">
        <f>D88</f>
        <v>0</v>
      </c>
      <c r="D88" s="493"/>
      <c r="E88" s="501" t="s">
        <v>65</v>
      </c>
      <c r="F88" s="494">
        <f>+ocs합잔!F121</f>
        <v>0</v>
      </c>
      <c r="G88" s="492">
        <f t="shared" si="4"/>
        <v>0</v>
      </c>
      <c r="H88" s="112"/>
      <c r="I88" s="113"/>
      <c r="K88" s="115"/>
    </row>
    <row r="89" spans="1:11" s="114" customFormat="1" ht="13.5">
      <c r="A89" s="193"/>
      <c r="B89" s="108"/>
      <c r="C89" s="497"/>
      <c r="D89" s="493"/>
      <c r="E89" s="501" t="s">
        <v>680</v>
      </c>
      <c r="F89" s="493"/>
      <c r="G89" s="492"/>
      <c r="H89" s="112"/>
      <c r="I89" s="113"/>
      <c r="K89" s="115"/>
    </row>
    <row r="90" spans="1:11" s="114" customFormat="1" ht="13.5">
      <c r="A90" s="193"/>
      <c r="B90" s="108"/>
      <c r="C90" s="497"/>
      <c r="D90" s="493"/>
      <c r="E90" s="501" t="s">
        <v>681</v>
      </c>
      <c r="F90" s="493"/>
      <c r="G90" s="492"/>
      <c r="H90" s="112"/>
      <c r="I90" s="113"/>
      <c r="K90" s="115"/>
    </row>
    <row r="91" spans="1:11" s="114" customFormat="1" ht="13.5">
      <c r="A91" s="193"/>
      <c r="B91" s="108"/>
      <c r="C91" s="497"/>
      <c r="D91" s="493"/>
      <c r="E91" s="501" t="s">
        <v>682</v>
      </c>
      <c r="F91" s="493"/>
      <c r="G91" s="492"/>
      <c r="H91" s="112"/>
      <c r="I91" s="113"/>
      <c r="K91" s="115"/>
    </row>
    <row r="92" spans="1:11" s="114" customFormat="1" ht="14.25">
      <c r="A92" s="429"/>
      <c r="B92" s="108"/>
      <c r="C92" s="497">
        <f>D92-F92</f>
        <v>1799727652</v>
      </c>
      <c r="D92" s="494">
        <f>+ocs합잔!E122</f>
        <v>1799727652</v>
      </c>
      <c r="E92" s="501" t="s">
        <v>66</v>
      </c>
      <c r="F92" s="493">
        <f>+ocs합잔!F122</f>
        <v>0</v>
      </c>
      <c r="G92" s="492"/>
      <c r="H92" s="112"/>
      <c r="I92" s="113"/>
      <c r="K92" s="115"/>
    </row>
    <row r="93" spans="1:11" s="114" customFormat="1" ht="14.25">
      <c r="A93" s="429"/>
      <c r="B93" s="108"/>
      <c r="C93" s="497">
        <f aca="true" t="shared" si="5" ref="C93:C147">D93-F93</f>
        <v>29350591329</v>
      </c>
      <c r="D93" s="494">
        <f>+ocs합잔!E125</f>
        <v>29350591329</v>
      </c>
      <c r="E93" s="501" t="s">
        <v>67</v>
      </c>
      <c r="F93" s="493">
        <f>+ocs합잔!F125</f>
        <v>0</v>
      </c>
      <c r="G93" s="492"/>
      <c r="H93" s="112"/>
      <c r="I93" s="113"/>
      <c r="K93" s="115"/>
    </row>
    <row r="94" spans="1:11" s="114" customFormat="1" ht="14.25">
      <c r="A94" s="429"/>
      <c r="B94" s="108"/>
      <c r="C94" s="497">
        <f t="shared" si="5"/>
        <v>19070038906</v>
      </c>
      <c r="D94" s="494">
        <f>+ocs합잔!E126</f>
        <v>19070038906</v>
      </c>
      <c r="E94" s="501" t="s">
        <v>68</v>
      </c>
      <c r="F94" s="493">
        <f>+ocs합잔!F126</f>
        <v>0</v>
      </c>
      <c r="G94" s="492"/>
      <c r="H94" s="112"/>
      <c r="I94" s="113"/>
      <c r="K94" s="115"/>
    </row>
    <row r="95" spans="1:11" s="114" customFormat="1" ht="14.25">
      <c r="A95" s="429"/>
      <c r="B95" s="108"/>
      <c r="C95" s="497">
        <f t="shared" si="5"/>
        <v>9416268011</v>
      </c>
      <c r="D95" s="494">
        <f>+ocs합잔!E127</f>
        <v>9416268011</v>
      </c>
      <c r="E95" s="501" t="s">
        <v>69</v>
      </c>
      <c r="F95" s="493">
        <f>+ocs합잔!F127</f>
        <v>0</v>
      </c>
      <c r="G95" s="492"/>
      <c r="H95" s="112"/>
      <c r="I95" s="113"/>
      <c r="K95" s="115"/>
    </row>
    <row r="96" spans="1:11" s="114" customFormat="1" ht="14.25">
      <c r="A96" s="429"/>
      <c r="B96" s="108"/>
      <c r="C96" s="497">
        <f t="shared" si="5"/>
        <v>1228078527</v>
      </c>
      <c r="D96" s="494">
        <f>+ocs합잔!E128</f>
        <v>1228078527</v>
      </c>
      <c r="E96" s="501" t="s">
        <v>683</v>
      </c>
      <c r="F96" s="493">
        <f>+ocs합잔!F128</f>
        <v>0</v>
      </c>
      <c r="G96" s="492"/>
      <c r="H96" s="112"/>
      <c r="I96" s="113"/>
      <c r="K96" s="115"/>
    </row>
    <row r="97" spans="1:11" s="114" customFormat="1" ht="13.5">
      <c r="A97" s="107"/>
      <c r="B97" s="108"/>
      <c r="C97" s="497"/>
      <c r="D97" s="494"/>
      <c r="E97" s="501" t="s">
        <v>684</v>
      </c>
      <c r="F97" s="493">
        <f>+ocs합잔!F129</f>
        <v>0</v>
      </c>
      <c r="G97" s="492"/>
      <c r="H97" s="112"/>
      <c r="I97" s="113"/>
      <c r="K97" s="115"/>
    </row>
    <row r="98" spans="1:11" s="114" customFormat="1" ht="14.25">
      <c r="A98" s="429"/>
      <c r="B98" s="108"/>
      <c r="C98" s="497">
        <f t="shared" si="5"/>
        <v>58554986425</v>
      </c>
      <c r="D98" s="494">
        <f>+ocs합잔!E130</f>
        <v>58554986425</v>
      </c>
      <c r="E98" s="501" t="s">
        <v>70</v>
      </c>
      <c r="F98" s="493">
        <f>+ocs합잔!F130</f>
        <v>0</v>
      </c>
      <c r="G98" s="492"/>
      <c r="H98" s="112"/>
      <c r="I98" s="113"/>
      <c r="K98" s="115"/>
    </row>
    <row r="99" spans="1:11" s="114" customFormat="1" ht="14.25">
      <c r="A99" s="429"/>
      <c r="B99" s="108"/>
      <c r="C99" s="497">
        <f t="shared" si="5"/>
        <v>0</v>
      </c>
      <c r="D99" s="494"/>
      <c r="E99" s="501" t="s">
        <v>817</v>
      </c>
      <c r="F99" s="493"/>
      <c r="G99" s="492"/>
      <c r="H99" s="112"/>
      <c r="I99" s="113"/>
      <c r="K99" s="115"/>
    </row>
    <row r="100" spans="1:11" s="114" customFormat="1" ht="13.5">
      <c r="A100" s="193"/>
      <c r="B100" s="108"/>
      <c r="C100" s="497">
        <f t="shared" si="5"/>
        <v>0</v>
      </c>
      <c r="D100" s="493"/>
      <c r="E100" s="501" t="s">
        <v>71</v>
      </c>
      <c r="F100" s="493"/>
      <c r="G100" s="492"/>
      <c r="H100" s="112"/>
      <c r="I100" s="113"/>
      <c r="K100" s="115"/>
    </row>
    <row r="101" spans="1:11" s="114" customFormat="1" ht="13.5">
      <c r="A101" s="193"/>
      <c r="B101" s="108"/>
      <c r="C101" s="497">
        <f t="shared" si="5"/>
        <v>0</v>
      </c>
      <c r="D101" s="493"/>
      <c r="E101" s="501" t="s">
        <v>685</v>
      </c>
      <c r="F101" s="493"/>
      <c r="G101" s="492"/>
      <c r="H101" s="112"/>
      <c r="I101" s="113"/>
      <c r="K101" s="115"/>
    </row>
    <row r="102" spans="1:11" s="114" customFormat="1" ht="13.5">
      <c r="A102" s="193"/>
      <c r="B102" s="108"/>
      <c r="C102" s="497">
        <f t="shared" si="5"/>
        <v>0</v>
      </c>
      <c r="D102" s="493"/>
      <c r="E102" s="501" t="s">
        <v>72</v>
      </c>
      <c r="F102" s="493"/>
      <c r="G102" s="492"/>
      <c r="H102" s="112"/>
      <c r="I102" s="113"/>
      <c r="K102" s="115"/>
    </row>
    <row r="103" spans="1:11" s="114" customFormat="1" ht="13.5">
      <c r="A103" s="193"/>
      <c r="B103" s="108"/>
      <c r="C103" s="497">
        <f t="shared" si="5"/>
        <v>0</v>
      </c>
      <c r="D103" s="493"/>
      <c r="E103" s="501" t="s">
        <v>73</v>
      </c>
      <c r="F103" s="493"/>
      <c r="G103" s="492"/>
      <c r="H103" s="112"/>
      <c r="I103" s="113"/>
      <c r="K103" s="115"/>
    </row>
    <row r="104" spans="1:11" s="114" customFormat="1" ht="14.25">
      <c r="A104" s="429"/>
      <c r="B104" s="108"/>
      <c r="C104" s="497">
        <f t="shared" si="5"/>
        <v>5036738844</v>
      </c>
      <c r="D104" s="494">
        <f>+ocs합잔!E133</f>
        <v>5036738844</v>
      </c>
      <c r="E104" s="501" t="s">
        <v>74</v>
      </c>
      <c r="F104" s="493">
        <f>+ocs합잔!F133</f>
        <v>0</v>
      </c>
      <c r="G104" s="492"/>
      <c r="H104" s="112"/>
      <c r="I104" s="113"/>
      <c r="K104" s="115"/>
    </row>
    <row r="105" spans="1:11" s="114" customFormat="1" ht="14.25">
      <c r="A105" s="429"/>
      <c r="B105" s="108"/>
      <c r="C105" s="497">
        <f t="shared" si="5"/>
        <v>351358431</v>
      </c>
      <c r="D105" s="494">
        <f>+ocs합잔!E135</f>
        <v>351358431</v>
      </c>
      <c r="E105" s="501" t="s">
        <v>75</v>
      </c>
      <c r="F105" s="493">
        <f>+ocs합잔!F135</f>
        <v>0</v>
      </c>
      <c r="G105" s="492"/>
      <c r="H105" s="112"/>
      <c r="I105" s="113"/>
      <c r="K105" s="115"/>
    </row>
    <row r="106" spans="1:11" s="114" customFormat="1" ht="14.25">
      <c r="A106" s="429"/>
      <c r="B106" s="108"/>
      <c r="C106" s="497">
        <f t="shared" si="5"/>
        <v>32322534</v>
      </c>
      <c r="D106" s="494">
        <f>+ocs합잔!E136</f>
        <v>32322534</v>
      </c>
      <c r="E106" s="501" t="s">
        <v>76</v>
      </c>
      <c r="F106" s="493">
        <f>+ocs합잔!F136</f>
        <v>0</v>
      </c>
      <c r="G106" s="492"/>
      <c r="H106" s="112"/>
      <c r="I106" s="113"/>
      <c r="K106" s="115"/>
    </row>
    <row r="107" spans="1:11" s="114" customFormat="1" ht="14.25">
      <c r="A107" s="429"/>
      <c r="B107" s="108"/>
      <c r="C107" s="497">
        <f t="shared" si="5"/>
        <v>3141819139</v>
      </c>
      <c r="D107" s="494">
        <f>+ocs합잔!E138</f>
        <v>3141819139</v>
      </c>
      <c r="E107" s="501" t="s">
        <v>77</v>
      </c>
      <c r="F107" s="493">
        <f>+ocs합잔!F138</f>
        <v>0</v>
      </c>
      <c r="G107" s="492"/>
      <c r="H107" s="112"/>
      <c r="I107" s="113"/>
      <c r="K107" s="115"/>
    </row>
    <row r="108" spans="1:11" s="114" customFormat="1" ht="14.25">
      <c r="A108" s="429"/>
      <c r="B108" s="108"/>
      <c r="C108" s="497">
        <f t="shared" si="5"/>
        <v>0</v>
      </c>
      <c r="D108" s="494">
        <f>+ocs합잔!E139</f>
        <v>0</v>
      </c>
      <c r="E108" s="501" t="s">
        <v>78</v>
      </c>
      <c r="F108" s="493">
        <f>+ocs합잔!F139</f>
        <v>0</v>
      </c>
      <c r="G108" s="492"/>
      <c r="H108" s="112"/>
      <c r="I108" s="113"/>
      <c r="K108" s="115"/>
    </row>
    <row r="109" spans="1:11" s="114" customFormat="1" ht="14.25">
      <c r="A109" s="429"/>
      <c r="B109" s="108"/>
      <c r="C109" s="497">
        <f t="shared" si="5"/>
        <v>254653317</v>
      </c>
      <c r="D109" s="494">
        <f>+ocs합잔!E140</f>
        <v>254653317</v>
      </c>
      <c r="E109" s="501" t="s">
        <v>79</v>
      </c>
      <c r="F109" s="493">
        <f>+ocs합잔!F140</f>
        <v>0</v>
      </c>
      <c r="G109" s="492"/>
      <c r="H109" s="112"/>
      <c r="I109" s="113"/>
      <c r="K109" s="115"/>
    </row>
    <row r="110" spans="1:11" s="114" customFormat="1" ht="13.5">
      <c r="A110" s="107"/>
      <c r="B110" s="108"/>
      <c r="C110" s="497">
        <f t="shared" si="5"/>
        <v>0</v>
      </c>
      <c r="D110" s="494">
        <f>+ocs합잔!E141</f>
        <v>0</v>
      </c>
      <c r="E110" s="501" t="s">
        <v>80</v>
      </c>
      <c r="F110" s="493">
        <f>+ocs합잔!F141</f>
        <v>0</v>
      </c>
      <c r="G110" s="492"/>
      <c r="H110" s="112"/>
      <c r="I110" s="113"/>
      <c r="K110" s="115"/>
    </row>
    <row r="111" spans="1:11" s="114" customFormat="1" ht="14.25">
      <c r="A111" s="429"/>
      <c r="B111" s="108"/>
      <c r="C111" s="497">
        <f t="shared" si="5"/>
        <v>200921564</v>
      </c>
      <c r="D111" s="494">
        <f>+ocs합잔!E142</f>
        <v>200921564</v>
      </c>
      <c r="E111" s="501" t="s">
        <v>81</v>
      </c>
      <c r="F111" s="493">
        <f>+ocs합잔!F142</f>
        <v>0</v>
      </c>
      <c r="G111" s="492"/>
      <c r="H111" s="112"/>
      <c r="I111" s="113"/>
      <c r="K111" s="115"/>
    </row>
    <row r="112" spans="1:11" s="114" customFormat="1" ht="13.5">
      <c r="A112" s="107"/>
      <c r="B112" s="108"/>
      <c r="C112" s="497">
        <f t="shared" si="5"/>
        <v>8772644042</v>
      </c>
      <c r="D112" s="533">
        <f>+ocs합잔!E143</f>
        <v>9380230207</v>
      </c>
      <c r="E112" s="501" t="s">
        <v>82</v>
      </c>
      <c r="F112" s="493">
        <f>+ocs합잔!F143</f>
        <v>607586165</v>
      </c>
      <c r="G112" s="492"/>
      <c r="H112" s="112"/>
      <c r="I112" s="113"/>
      <c r="K112" s="115"/>
    </row>
    <row r="113" spans="1:11" s="114" customFormat="1" ht="13.5">
      <c r="A113" s="107"/>
      <c r="B113" s="108"/>
      <c r="C113" s="497">
        <f t="shared" si="5"/>
        <v>0</v>
      </c>
      <c r="D113" s="493">
        <f>+ocs합잔!E145</f>
        <v>0</v>
      </c>
      <c r="E113" s="501" t="s">
        <v>83</v>
      </c>
      <c r="F113" s="493">
        <f>+ocs합잔!F145</f>
        <v>0</v>
      </c>
      <c r="G113" s="492"/>
      <c r="H113" s="112"/>
      <c r="I113" s="113"/>
      <c r="K113" s="115"/>
    </row>
    <row r="114" spans="1:11" s="114" customFormat="1" ht="14.25">
      <c r="A114" s="429"/>
      <c r="B114" s="108"/>
      <c r="C114" s="497">
        <f t="shared" si="5"/>
        <v>1347231572</v>
      </c>
      <c r="D114" s="494">
        <f>+ocs합잔!E146</f>
        <v>1347231572</v>
      </c>
      <c r="E114" s="501" t="s">
        <v>84</v>
      </c>
      <c r="F114" s="493">
        <f>+ocs합잔!F146</f>
        <v>0</v>
      </c>
      <c r="G114" s="492"/>
      <c r="H114" s="112"/>
      <c r="I114" s="113"/>
      <c r="K114" s="115"/>
    </row>
    <row r="115" spans="1:11" s="114" customFormat="1" ht="14.25">
      <c r="A115" s="429"/>
      <c r="B115" s="108"/>
      <c r="C115" s="497">
        <f t="shared" si="5"/>
        <v>8656295315</v>
      </c>
      <c r="D115" s="494">
        <f>+ocs합잔!E147</f>
        <v>8656295315</v>
      </c>
      <c r="E115" s="501" t="s">
        <v>85</v>
      </c>
      <c r="F115" s="493">
        <f>+ocs합잔!F147</f>
        <v>0</v>
      </c>
      <c r="G115" s="492"/>
      <c r="H115" s="112"/>
      <c r="I115" s="113"/>
      <c r="K115" s="115"/>
    </row>
    <row r="116" spans="1:11" s="114" customFormat="1" ht="14.25">
      <c r="A116" s="429"/>
      <c r="B116" s="108"/>
      <c r="C116" s="497">
        <f t="shared" si="5"/>
        <v>3102411920</v>
      </c>
      <c r="D116" s="494">
        <f>+ocs합잔!E148</f>
        <v>3102411920</v>
      </c>
      <c r="E116" s="501" t="s">
        <v>86</v>
      </c>
      <c r="F116" s="493">
        <f>+ocs합잔!F148</f>
        <v>0</v>
      </c>
      <c r="G116" s="492"/>
      <c r="H116" s="112"/>
      <c r="I116" s="113"/>
      <c r="K116" s="115"/>
    </row>
    <row r="117" spans="1:11" s="114" customFormat="1" ht="13.5">
      <c r="A117" s="107"/>
      <c r="B117" s="108"/>
      <c r="C117" s="497">
        <f t="shared" si="5"/>
        <v>0</v>
      </c>
      <c r="D117" s="493">
        <f>+ocs합잔!D150</f>
        <v>0</v>
      </c>
      <c r="E117" s="501" t="s">
        <v>87</v>
      </c>
      <c r="F117" s="493">
        <f>+ocs합잔!F150</f>
        <v>0</v>
      </c>
      <c r="G117" s="492"/>
      <c r="H117" s="112"/>
      <c r="I117" s="113"/>
      <c r="K117" s="115"/>
    </row>
    <row r="118" spans="1:11" s="114" customFormat="1" ht="14.25">
      <c r="A118" s="429"/>
      <c r="B118" s="108"/>
      <c r="C118" s="497">
        <f t="shared" si="5"/>
        <v>80746159</v>
      </c>
      <c r="D118" s="494">
        <f>+ocs합잔!E156</f>
        <v>80746159</v>
      </c>
      <c r="E118" s="501" t="s">
        <v>88</v>
      </c>
      <c r="F118" s="493">
        <f>+ocs합잔!F156</f>
        <v>0</v>
      </c>
      <c r="G118" s="492"/>
      <c r="H118" s="112"/>
      <c r="I118" s="113"/>
      <c r="K118" s="115"/>
    </row>
    <row r="119" spans="1:11" s="114" customFormat="1" ht="14.25">
      <c r="A119" s="429"/>
      <c r="B119" s="108"/>
      <c r="C119" s="497">
        <f t="shared" si="5"/>
        <v>968504810</v>
      </c>
      <c r="D119" s="494">
        <f>+ocs합잔!E151</f>
        <v>968504810</v>
      </c>
      <c r="E119" s="501" t="s">
        <v>736</v>
      </c>
      <c r="F119" s="493">
        <f>+ocs합잔!F151</f>
        <v>0</v>
      </c>
      <c r="G119" s="492"/>
      <c r="H119" s="112"/>
      <c r="I119" s="113"/>
      <c r="K119" s="115"/>
    </row>
    <row r="120" spans="1:11" s="114" customFormat="1" ht="14.25">
      <c r="A120" s="429"/>
      <c r="B120" s="108"/>
      <c r="C120" s="497">
        <f t="shared" si="5"/>
        <v>4099651600</v>
      </c>
      <c r="D120" s="494">
        <f>+ocs합잔!E165</f>
        <v>4099651600</v>
      </c>
      <c r="E120" s="501" t="s">
        <v>70</v>
      </c>
      <c r="F120" s="493">
        <f>+ocs합잔!F165</f>
        <v>0</v>
      </c>
      <c r="G120" s="492"/>
      <c r="H120" s="112"/>
      <c r="I120" s="113"/>
      <c r="K120" s="115"/>
    </row>
    <row r="121" spans="1:11" s="114" customFormat="1" ht="15" thickBot="1">
      <c r="A121" s="430"/>
      <c r="B121" s="195"/>
      <c r="C121" s="499">
        <f t="shared" si="5"/>
        <v>132150</v>
      </c>
      <c r="D121" s="494">
        <f>+ocs합잔!E166</f>
        <v>132150</v>
      </c>
      <c r="E121" s="504" t="s">
        <v>71</v>
      </c>
      <c r="F121" s="508">
        <f>+ocs합잔!F166</f>
        <v>0</v>
      </c>
      <c r="G121" s="506"/>
      <c r="H121" s="194"/>
      <c r="I121" s="195"/>
      <c r="K121" s="115"/>
    </row>
    <row r="122" spans="1:11" s="114" customFormat="1" ht="14.25">
      <c r="A122" s="438"/>
      <c r="B122" s="439"/>
      <c r="C122" s="500">
        <f t="shared" si="5"/>
        <v>475024507</v>
      </c>
      <c r="D122" s="509">
        <f>+ocs합잔!E168</f>
        <v>475024507</v>
      </c>
      <c r="E122" s="510" t="s">
        <v>685</v>
      </c>
      <c r="F122" s="511">
        <f>+ocs합잔!F168</f>
        <v>0</v>
      </c>
      <c r="G122" s="512"/>
      <c r="H122" s="440"/>
      <c r="I122" s="439"/>
      <c r="K122" s="115"/>
    </row>
    <row r="123" spans="1:11" s="114" customFormat="1" ht="14.25">
      <c r="A123" s="429"/>
      <c r="B123" s="108"/>
      <c r="C123" s="497">
        <f t="shared" si="5"/>
        <v>366493</v>
      </c>
      <c r="D123" s="491">
        <f>+ocs합잔!E170</f>
        <v>366493</v>
      </c>
      <c r="E123" s="501" t="s">
        <v>686</v>
      </c>
      <c r="F123" s="493">
        <f>+ocs합잔!F170</f>
        <v>0</v>
      </c>
      <c r="G123" s="492"/>
      <c r="H123" s="112"/>
      <c r="I123" s="113"/>
      <c r="K123" s="115"/>
    </row>
    <row r="124" spans="1:11" s="114" customFormat="1" ht="13.5">
      <c r="A124" s="107"/>
      <c r="B124" s="108"/>
      <c r="C124" s="497">
        <f t="shared" si="5"/>
        <v>0</v>
      </c>
      <c r="D124" s="493">
        <f>+ocs합잔!E167</f>
        <v>0</v>
      </c>
      <c r="E124" s="501" t="s">
        <v>73</v>
      </c>
      <c r="F124" s="493">
        <f>+ocs합잔!F167</f>
        <v>0</v>
      </c>
      <c r="G124" s="492"/>
      <c r="H124" s="112"/>
      <c r="I124" s="113"/>
      <c r="K124" s="115"/>
    </row>
    <row r="125" spans="1:11" s="114" customFormat="1" ht="14.25">
      <c r="A125" s="429"/>
      <c r="B125" s="108"/>
      <c r="C125" s="497">
        <f t="shared" si="5"/>
        <v>1215191786</v>
      </c>
      <c r="D125" s="494">
        <f>+ocs합잔!E169</f>
        <v>1215191786</v>
      </c>
      <c r="E125" s="501" t="s">
        <v>74</v>
      </c>
      <c r="F125" s="493">
        <f>+ocs합잔!F168</f>
        <v>0</v>
      </c>
      <c r="G125" s="492"/>
      <c r="H125" s="112"/>
      <c r="I125" s="113"/>
      <c r="K125" s="115"/>
    </row>
    <row r="126" spans="1:11" s="114" customFormat="1" ht="14.25">
      <c r="A126" s="429"/>
      <c r="B126" s="108"/>
      <c r="C126" s="497">
        <f t="shared" si="5"/>
        <v>266203390</v>
      </c>
      <c r="D126" s="494">
        <f>+ocs합잔!E172</f>
        <v>266203390</v>
      </c>
      <c r="E126" s="501" t="s">
        <v>75</v>
      </c>
      <c r="F126" s="493">
        <f>+ocs합잔!F172</f>
        <v>0</v>
      </c>
      <c r="G126" s="492"/>
      <c r="H126" s="112"/>
      <c r="I126" s="113"/>
      <c r="K126" s="115"/>
    </row>
    <row r="127" spans="1:11" s="114" customFormat="1" ht="14.25">
      <c r="A127" s="429"/>
      <c r="B127" s="108"/>
      <c r="C127" s="497">
        <f t="shared" si="5"/>
        <v>25746420</v>
      </c>
      <c r="D127" s="494">
        <f>+ocs합잔!E173</f>
        <v>25746420</v>
      </c>
      <c r="E127" s="501" t="s">
        <v>76</v>
      </c>
      <c r="F127" s="493">
        <f>+ocs합잔!F173</f>
        <v>0</v>
      </c>
      <c r="G127" s="492"/>
      <c r="H127" s="112"/>
      <c r="I127" s="113"/>
      <c r="K127" s="115"/>
    </row>
    <row r="128" spans="1:11" s="114" customFormat="1" ht="14.25">
      <c r="A128" s="429"/>
      <c r="B128" s="108"/>
      <c r="C128" s="497">
        <f t="shared" si="5"/>
        <v>183485010</v>
      </c>
      <c r="D128" s="494">
        <f>+ocs합잔!E174+ocs합잔!E137</f>
        <v>183485010</v>
      </c>
      <c r="E128" s="501" t="s">
        <v>90</v>
      </c>
      <c r="F128" s="493">
        <f>+ocs합잔!F174+ocs합잔!F137</f>
        <v>0</v>
      </c>
      <c r="G128" s="492"/>
      <c r="H128" s="112"/>
      <c r="I128" s="113"/>
      <c r="K128" s="115"/>
    </row>
    <row r="129" spans="1:11" s="114" customFormat="1" ht="13.5">
      <c r="A129" s="107"/>
      <c r="B129" s="108"/>
      <c r="C129" s="497">
        <f t="shared" si="5"/>
        <v>0</v>
      </c>
      <c r="D129" s="493"/>
      <c r="E129" s="501" t="s">
        <v>687</v>
      </c>
      <c r="F129" s="493"/>
      <c r="G129" s="492"/>
      <c r="H129" s="112"/>
      <c r="I129" s="113"/>
      <c r="K129" s="115"/>
    </row>
    <row r="130" spans="1:11" s="114" customFormat="1" ht="14.25">
      <c r="A130" s="429"/>
      <c r="B130" s="108"/>
      <c r="C130" s="497">
        <f t="shared" si="5"/>
        <v>1388886076</v>
      </c>
      <c r="D130" s="494">
        <f>+ocs합잔!E176</f>
        <v>1388886076</v>
      </c>
      <c r="E130" s="501" t="s">
        <v>78</v>
      </c>
      <c r="F130" s="493">
        <f>+ocs합잔!F176</f>
        <v>0</v>
      </c>
      <c r="G130" s="492"/>
      <c r="H130" s="112"/>
      <c r="I130" s="113"/>
      <c r="K130" s="115"/>
    </row>
    <row r="131" spans="1:11" s="114" customFormat="1" ht="14.25">
      <c r="A131" s="429"/>
      <c r="B131" s="108"/>
      <c r="C131" s="497">
        <f t="shared" si="5"/>
        <v>163074154</v>
      </c>
      <c r="D131" s="533">
        <f>+ocs합잔!E177</f>
        <v>163074154</v>
      </c>
      <c r="E131" s="501" t="s">
        <v>79</v>
      </c>
      <c r="F131" s="493">
        <f>+ocs합잔!F177</f>
        <v>0</v>
      </c>
      <c r="G131" s="492"/>
      <c r="H131" s="112"/>
      <c r="I131" s="113"/>
      <c r="K131" s="115"/>
    </row>
    <row r="132" spans="1:11" s="114" customFormat="1" ht="13.5">
      <c r="A132" s="107"/>
      <c r="B132" s="108"/>
      <c r="C132" s="497">
        <f t="shared" si="5"/>
        <v>0</v>
      </c>
      <c r="D132" s="494">
        <f>+ocs합잔!E178</f>
        <v>0</v>
      </c>
      <c r="E132" s="501" t="s">
        <v>80</v>
      </c>
      <c r="F132" s="493">
        <f>+ocs합잔!F178</f>
        <v>0</v>
      </c>
      <c r="G132" s="492"/>
      <c r="H132" s="112"/>
      <c r="I132" s="113"/>
      <c r="K132" s="115"/>
    </row>
    <row r="133" spans="1:11" s="114" customFormat="1" ht="14.25">
      <c r="A133" s="429"/>
      <c r="B133" s="108"/>
      <c r="C133" s="497">
        <f t="shared" si="5"/>
        <v>49209705</v>
      </c>
      <c r="D133" s="494">
        <f>+ocs합잔!E179</f>
        <v>49209705</v>
      </c>
      <c r="E133" s="501" t="s">
        <v>81</v>
      </c>
      <c r="F133" s="493">
        <f>+ocs합잔!F179</f>
        <v>0</v>
      </c>
      <c r="G133" s="492"/>
      <c r="H133" s="112"/>
      <c r="I133" s="113"/>
      <c r="K133" s="115"/>
    </row>
    <row r="134" spans="1:11" s="114" customFormat="1" ht="13.5">
      <c r="A134" s="107"/>
      <c r="B134" s="108"/>
      <c r="C134" s="497">
        <f t="shared" si="5"/>
        <v>144823154</v>
      </c>
      <c r="D134" s="494">
        <f>+ocs합잔!E180</f>
        <v>144823154</v>
      </c>
      <c r="E134" s="501" t="s">
        <v>82</v>
      </c>
      <c r="F134" s="493">
        <f>+ocs합잔!F180</f>
        <v>0</v>
      </c>
      <c r="G134" s="492"/>
      <c r="H134" s="112"/>
      <c r="I134" s="113"/>
      <c r="K134" s="115"/>
    </row>
    <row r="135" spans="1:11" s="114" customFormat="1" ht="14.25">
      <c r="A135" s="429"/>
      <c r="B135" s="108"/>
      <c r="C135" s="497">
        <f>D135-F135</f>
        <v>41723600</v>
      </c>
      <c r="D135" s="494">
        <f>+ocs합잔!E181</f>
        <v>41723600</v>
      </c>
      <c r="E135" s="501" t="s">
        <v>91</v>
      </c>
      <c r="F135" s="493">
        <f>+ocs합잔!F181</f>
        <v>0</v>
      </c>
      <c r="G135" s="492"/>
      <c r="H135" s="112"/>
      <c r="I135" s="113"/>
      <c r="K135" s="115"/>
    </row>
    <row r="136" spans="1:11" s="114" customFormat="1" ht="14.25">
      <c r="A136" s="429"/>
      <c r="B136" s="108"/>
      <c r="C136" s="497">
        <f t="shared" si="5"/>
        <v>1355285082</v>
      </c>
      <c r="D136" s="494">
        <f>+ocs합잔!E182+ocs합잔!E183+ocs합잔!E184</f>
        <v>1355285082</v>
      </c>
      <c r="E136" s="501" t="s">
        <v>83</v>
      </c>
      <c r="F136" s="493">
        <f>+ocs합잔!F182+ocs합잔!F183+ocs합잔!F184</f>
        <v>0</v>
      </c>
      <c r="G136" s="492"/>
      <c r="H136" s="112"/>
      <c r="I136" s="113"/>
      <c r="K136" s="115"/>
    </row>
    <row r="137" spans="1:11" s="114" customFormat="1" ht="13.5">
      <c r="A137" s="107"/>
      <c r="B137" s="108"/>
      <c r="C137" s="497">
        <f t="shared" si="5"/>
        <v>0</v>
      </c>
      <c r="D137" s="494">
        <v>0</v>
      </c>
      <c r="E137" s="501" t="s">
        <v>85</v>
      </c>
      <c r="F137" s="493">
        <f>+ocs합잔!F185+ocs합잔!F147</f>
        <v>0</v>
      </c>
      <c r="G137" s="492"/>
      <c r="H137" s="112"/>
      <c r="I137" s="113"/>
      <c r="K137" s="115"/>
    </row>
    <row r="138" spans="1:11" s="114" customFormat="1" ht="13.5">
      <c r="A138" s="107"/>
      <c r="B138" s="108"/>
      <c r="C138" s="497">
        <f t="shared" si="5"/>
        <v>0</v>
      </c>
      <c r="D138" s="494">
        <v>0</v>
      </c>
      <c r="E138" s="501" t="s">
        <v>86</v>
      </c>
      <c r="F138" s="493">
        <f>+ocs합잔!F186+ocs합잔!F148</f>
        <v>0</v>
      </c>
      <c r="G138" s="492"/>
      <c r="H138" s="112"/>
      <c r="I138" s="113"/>
      <c r="K138" s="115"/>
    </row>
    <row r="139" spans="1:11" s="114" customFormat="1" ht="14.25">
      <c r="A139" s="429"/>
      <c r="B139" s="108"/>
      <c r="C139" s="497">
        <f t="shared" si="5"/>
        <v>54728194</v>
      </c>
      <c r="D139" s="494">
        <f>+ocs합잔!E149+ocs합잔!E187</f>
        <v>54728194</v>
      </c>
      <c r="E139" s="501" t="s">
        <v>92</v>
      </c>
      <c r="F139" s="493">
        <f>+ocs합잔!F149+ocs합잔!F187</f>
        <v>0</v>
      </c>
      <c r="G139" s="492"/>
      <c r="H139" s="112"/>
      <c r="I139" s="113"/>
      <c r="K139" s="115"/>
    </row>
    <row r="140" spans="1:11" s="114" customFormat="1" ht="14.25">
      <c r="A140" s="429"/>
      <c r="B140" s="108"/>
      <c r="C140" s="497">
        <f t="shared" si="5"/>
        <v>15023400</v>
      </c>
      <c r="D140" s="494">
        <f>+ocs합잔!E188</f>
        <v>15023400</v>
      </c>
      <c r="E140" s="501" t="s">
        <v>87</v>
      </c>
      <c r="F140" s="493">
        <f>+ocs합잔!F188</f>
        <v>0</v>
      </c>
      <c r="G140" s="492"/>
      <c r="H140" s="112"/>
      <c r="I140" s="113"/>
      <c r="K140" s="115"/>
    </row>
    <row r="141" spans="1:11" s="114" customFormat="1" ht="13.5">
      <c r="A141" s="107"/>
      <c r="B141" s="108"/>
      <c r="C141" s="497">
        <f t="shared" si="5"/>
        <v>0</v>
      </c>
      <c r="D141" s="494">
        <f>+ocs합잔!D189</f>
        <v>0</v>
      </c>
      <c r="E141" s="501" t="s">
        <v>93</v>
      </c>
      <c r="F141" s="493">
        <f>+ocs합잔!F189</f>
        <v>0</v>
      </c>
      <c r="G141" s="492"/>
      <c r="H141" s="112"/>
      <c r="I141" s="113"/>
      <c r="K141" s="115"/>
    </row>
    <row r="142" spans="1:11" s="114" customFormat="1" ht="13.5">
      <c r="A142" s="107"/>
      <c r="B142" s="108"/>
      <c r="C142" s="497">
        <f t="shared" si="5"/>
        <v>0</v>
      </c>
      <c r="D142" s="494">
        <f>+ocs합잔!D190</f>
        <v>0</v>
      </c>
      <c r="E142" s="501" t="s">
        <v>94</v>
      </c>
      <c r="F142" s="493">
        <f>+ocs합잔!F190</f>
        <v>0</v>
      </c>
      <c r="G142" s="492"/>
      <c r="H142" s="112"/>
      <c r="I142" s="113"/>
      <c r="K142" s="115"/>
    </row>
    <row r="143" spans="1:11" s="114" customFormat="1" ht="14.25">
      <c r="A143" s="429"/>
      <c r="B143" s="108"/>
      <c r="C143" s="497">
        <f t="shared" si="5"/>
        <v>61491526</v>
      </c>
      <c r="D143" s="494">
        <f>+ocs합잔!D191</f>
        <v>61491526</v>
      </c>
      <c r="E143" s="501" t="s">
        <v>95</v>
      </c>
      <c r="F143" s="493">
        <f>+ocs합잔!F191</f>
        <v>0</v>
      </c>
      <c r="G143" s="492"/>
      <c r="H143" s="112"/>
      <c r="I143" s="113"/>
      <c r="K143" s="115"/>
    </row>
    <row r="144" spans="1:11" s="114" customFormat="1" ht="14.25">
      <c r="A144" s="429"/>
      <c r="B144" s="108"/>
      <c r="C144" s="497">
        <f t="shared" si="5"/>
        <v>371908763</v>
      </c>
      <c r="D144" s="494">
        <f>+ocs합잔!D192</f>
        <v>371908763</v>
      </c>
      <c r="E144" s="501" t="s">
        <v>96</v>
      </c>
      <c r="F144" s="493">
        <f>+ocs합잔!F192</f>
        <v>0</v>
      </c>
      <c r="G144" s="492"/>
      <c r="H144" s="112"/>
      <c r="I144" s="113"/>
      <c r="K144" s="115"/>
    </row>
    <row r="145" spans="1:11" s="114" customFormat="1" ht="14.25">
      <c r="A145" s="429"/>
      <c r="B145" s="108"/>
      <c r="C145" s="497">
        <f t="shared" si="5"/>
        <v>49716546</v>
      </c>
      <c r="D145" s="494">
        <f>+ocs합잔!D193</f>
        <v>49716546</v>
      </c>
      <c r="E145" s="501" t="s">
        <v>88</v>
      </c>
      <c r="F145" s="493">
        <f>+ocs합잔!F193</f>
        <v>0</v>
      </c>
      <c r="G145" s="492"/>
      <c r="H145" s="112"/>
      <c r="I145" s="113"/>
      <c r="K145" s="115"/>
    </row>
    <row r="146" spans="1:11" s="114" customFormat="1" ht="14.25">
      <c r="A146" s="429"/>
      <c r="B146" s="108"/>
      <c r="C146" s="497">
        <f t="shared" si="5"/>
        <v>36560640</v>
      </c>
      <c r="D146" s="494">
        <f>+ocs합잔!D197</f>
        <v>36560640</v>
      </c>
      <c r="E146" s="501" t="s">
        <v>97</v>
      </c>
      <c r="F146" s="513">
        <f>+ocs합잔!F197</f>
        <v>0</v>
      </c>
      <c r="G146" s="492"/>
      <c r="H146" s="112"/>
      <c r="I146" s="113"/>
      <c r="K146" s="115"/>
    </row>
    <row r="147" spans="1:11" s="114" customFormat="1" ht="14.25">
      <c r="A147" s="429"/>
      <c r="B147" s="108"/>
      <c r="C147" s="497">
        <f t="shared" si="5"/>
        <v>1238490</v>
      </c>
      <c r="D147" s="494">
        <f>+ocs합잔!E199</f>
        <v>1238490</v>
      </c>
      <c r="E147" s="501" t="s">
        <v>89</v>
      </c>
      <c r="F147" s="493">
        <f>+ocs합잔!F199</f>
        <v>0</v>
      </c>
      <c r="G147" s="492"/>
      <c r="H147" s="112"/>
      <c r="I147" s="113"/>
      <c r="K147" s="115"/>
    </row>
    <row r="148" spans="1:11" s="114" customFormat="1" ht="13.5">
      <c r="A148" s="193"/>
      <c r="B148" s="108"/>
      <c r="C148" s="476"/>
      <c r="D148" s="493">
        <f>+ocs합잔!E201</f>
        <v>0</v>
      </c>
      <c r="E148" s="501" t="s">
        <v>98</v>
      </c>
      <c r="F148" s="494">
        <f>+ocs합잔!F201</f>
        <v>3028808092</v>
      </c>
      <c r="G148" s="492">
        <f>F148-D148</f>
        <v>3028808092</v>
      </c>
      <c r="H148" s="112"/>
      <c r="I148" s="111"/>
      <c r="K148" s="115"/>
    </row>
    <row r="149" spans="1:11" s="114" customFormat="1" ht="13.5">
      <c r="A149" s="193"/>
      <c r="B149" s="108"/>
      <c r="C149" s="476"/>
      <c r="D149" s="493"/>
      <c r="E149" s="501" t="s">
        <v>688</v>
      </c>
      <c r="F149" s="493"/>
      <c r="G149" s="492">
        <f aca="true" t="shared" si="6" ref="G149:G160">F149-D149</f>
        <v>0</v>
      </c>
      <c r="H149" s="112"/>
      <c r="I149" s="111"/>
      <c r="K149" s="115"/>
    </row>
    <row r="150" spans="1:11" s="114" customFormat="1" ht="13.5">
      <c r="A150" s="193"/>
      <c r="B150" s="108"/>
      <c r="C150" s="476"/>
      <c r="D150" s="493"/>
      <c r="E150" s="501" t="s">
        <v>99</v>
      </c>
      <c r="F150" s="491"/>
      <c r="G150" s="492">
        <f t="shared" si="6"/>
        <v>0</v>
      </c>
      <c r="H150" s="112"/>
      <c r="I150" s="111"/>
      <c r="K150" s="115">
        <f>I150+I158</f>
        <v>0</v>
      </c>
    </row>
    <row r="151" spans="1:11" s="114" customFormat="1" ht="13.5">
      <c r="A151" s="193"/>
      <c r="B151" s="108"/>
      <c r="C151" s="476"/>
      <c r="D151" s="493"/>
      <c r="E151" s="501" t="s">
        <v>100</v>
      </c>
      <c r="F151" s="493"/>
      <c r="G151" s="492">
        <f t="shared" si="6"/>
        <v>0</v>
      </c>
      <c r="H151" s="112"/>
      <c r="I151" s="111"/>
      <c r="K151" s="115"/>
    </row>
    <row r="152" spans="1:11" s="114" customFormat="1" ht="13.5">
      <c r="A152" s="193"/>
      <c r="B152" s="108"/>
      <c r="C152" s="476"/>
      <c r="D152" s="493"/>
      <c r="E152" s="501" t="s">
        <v>101</v>
      </c>
      <c r="F152" s="491">
        <f>+ocs합잔!F205</f>
        <v>0</v>
      </c>
      <c r="G152" s="492">
        <f t="shared" si="6"/>
        <v>0</v>
      </c>
      <c r="H152" s="112"/>
      <c r="I152" s="111"/>
      <c r="K152" s="115"/>
    </row>
    <row r="153" spans="1:11" s="114" customFormat="1" ht="13.5">
      <c r="A153" s="193"/>
      <c r="B153" s="108"/>
      <c r="C153" s="476"/>
      <c r="D153" s="502"/>
      <c r="E153" s="501" t="s">
        <v>689</v>
      </c>
      <c r="F153" s="493"/>
      <c r="G153" s="492">
        <f t="shared" si="6"/>
        <v>0</v>
      </c>
      <c r="H153" s="112"/>
      <c r="I153" s="111"/>
      <c r="K153" s="115"/>
    </row>
    <row r="154" spans="1:11" s="114" customFormat="1" ht="13.5">
      <c r="A154" s="193"/>
      <c r="B154" s="108"/>
      <c r="C154" s="476"/>
      <c r="D154" s="514"/>
      <c r="E154" s="501" t="s">
        <v>690</v>
      </c>
      <c r="F154" s="494">
        <f>+ocs합잔!F215</f>
        <v>2239663279</v>
      </c>
      <c r="G154" s="492">
        <f t="shared" si="6"/>
        <v>2239663279</v>
      </c>
      <c r="H154" s="112"/>
      <c r="I154" s="111"/>
      <c r="K154" s="115"/>
    </row>
    <row r="155" spans="1:11" s="114" customFormat="1" ht="13.5">
      <c r="A155" s="193"/>
      <c r="B155" s="108"/>
      <c r="C155" s="476"/>
      <c r="D155" s="493"/>
      <c r="E155" s="501" t="s">
        <v>102</v>
      </c>
      <c r="F155" s="493"/>
      <c r="G155" s="492">
        <f t="shared" si="6"/>
        <v>0</v>
      </c>
      <c r="H155" s="112"/>
      <c r="I155" s="111"/>
      <c r="K155" s="115"/>
    </row>
    <row r="156" spans="1:11" s="114" customFormat="1" ht="13.5">
      <c r="A156" s="193"/>
      <c r="B156" s="108"/>
      <c r="C156" s="476"/>
      <c r="D156" s="494">
        <f>+ocs합잔!E207</f>
        <v>0</v>
      </c>
      <c r="E156" s="501" t="s">
        <v>691</v>
      </c>
      <c r="F156" s="494">
        <f>+ocs합잔!F207</f>
        <v>2067841622</v>
      </c>
      <c r="G156" s="492">
        <f t="shared" si="6"/>
        <v>2067841622</v>
      </c>
      <c r="H156" s="112"/>
      <c r="I156" s="111"/>
      <c r="K156" s="115"/>
    </row>
    <row r="157" spans="1:11" s="114" customFormat="1" ht="13.5">
      <c r="A157" s="193"/>
      <c r="B157" s="108"/>
      <c r="C157" s="476"/>
      <c r="D157" s="494">
        <f>+ocs합잔!E208</f>
        <v>0</v>
      </c>
      <c r="E157" s="501" t="s">
        <v>692</v>
      </c>
      <c r="F157" s="494">
        <f>+ocs합잔!F208</f>
        <v>1611140464</v>
      </c>
      <c r="G157" s="492">
        <f t="shared" si="6"/>
        <v>1611140464</v>
      </c>
      <c r="H157" s="112"/>
      <c r="I157" s="111"/>
      <c r="K157" s="115"/>
    </row>
    <row r="158" spans="1:11" s="114" customFormat="1" ht="13.5">
      <c r="A158" s="193"/>
      <c r="B158" s="108"/>
      <c r="C158" s="476"/>
      <c r="D158" s="502"/>
      <c r="E158" s="501" t="s">
        <v>693</v>
      </c>
      <c r="F158" s="494"/>
      <c r="G158" s="492">
        <f t="shared" si="6"/>
        <v>0</v>
      </c>
      <c r="H158" s="112"/>
      <c r="I158" s="111"/>
      <c r="K158" s="115"/>
    </row>
    <row r="159" spans="1:11" s="114" customFormat="1" ht="13.5">
      <c r="A159" s="193"/>
      <c r="B159" s="108"/>
      <c r="C159" s="476"/>
      <c r="D159" s="493">
        <f>+ocs합잔!E214</f>
        <v>0</v>
      </c>
      <c r="E159" s="501" t="s">
        <v>694</v>
      </c>
      <c r="F159" s="494">
        <f>+ocs합잔!F214</f>
        <v>1374718488</v>
      </c>
      <c r="G159" s="492">
        <f t="shared" si="6"/>
        <v>1374718488</v>
      </c>
      <c r="H159" s="112"/>
      <c r="I159" s="111"/>
      <c r="K159" s="115"/>
    </row>
    <row r="160" spans="1:11" s="114" customFormat="1" ht="13.5">
      <c r="A160" s="199"/>
      <c r="B160" s="108"/>
      <c r="C160" s="476"/>
      <c r="D160" s="493">
        <f>+ocs합잔!E209</f>
        <v>0</v>
      </c>
      <c r="E160" s="501" t="s">
        <v>737</v>
      </c>
      <c r="F160" s="494">
        <f>+ocs합잔!F209</f>
        <v>983313027</v>
      </c>
      <c r="G160" s="492">
        <f t="shared" si="6"/>
        <v>983313027</v>
      </c>
      <c r="H160" s="112"/>
      <c r="I160" s="200"/>
      <c r="K160" s="115"/>
    </row>
    <row r="161" spans="1:11" s="114" customFormat="1" ht="13.5">
      <c r="A161" s="107"/>
      <c r="B161" s="108"/>
      <c r="C161" s="476"/>
      <c r="D161" s="493"/>
      <c r="E161" s="501" t="s">
        <v>103</v>
      </c>
      <c r="F161" s="493"/>
      <c r="G161" s="492"/>
      <c r="H161" s="112"/>
      <c r="I161" s="113"/>
      <c r="K161" s="115"/>
    </row>
    <row r="162" spans="1:11" s="114" customFormat="1" ht="13.5">
      <c r="A162" s="193"/>
      <c r="B162" s="109"/>
      <c r="C162" s="476"/>
      <c r="D162" s="493"/>
      <c r="E162" s="501" t="s">
        <v>104</v>
      </c>
      <c r="F162" s="493"/>
      <c r="G162" s="492"/>
      <c r="H162" s="112"/>
      <c r="I162" s="113"/>
      <c r="K162" s="115"/>
    </row>
    <row r="163" spans="1:11" s="114" customFormat="1" ht="13.5">
      <c r="A163" s="193"/>
      <c r="B163" s="108"/>
      <c r="C163" s="476"/>
      <c r="D163" s="494"/>
      <c r="E163" s="501" t="s">
        <v>105</v>
      </c>
      <c r="F163" s="493"/>
      <c r="G163" s="492"/>
      <c r="H163" s="112"/>
      <c r="I163" s="113"/>
      <c r="K163" s="115"/>
    </row>
    <row r="164" spans="1:11" s="114" customFormat="1" ht="13.5">
      <c r="A164" s="193"/>
      <c r="B164" s="108"/>
      <c r="C164" s="476">
        <f>D164-F164</f>
        <v>0</v>
      </c>
      <c r="D164" s="494"/>
      <c r="E164" s="501" t="s">
        <v>695</v>
      </c>
      <c r="F164" s="493"/>
      <c r="G164" s="492"/>
      <c r="H164" s="112"/>
      <c r="I164" s="113"/>
      <c r="K164" s="115"/>
    </row>
    <row r="165" spans="1:11" s="114" customFormat="1" ht="13.5">
      <c r="A165" s="193"/>
      <c r="B165" s="108"/>
      <c r="C165" s="476"/>
      <c r="D165" s="494"/>
      <c r="E165" s="501" t="s">
        <v>106</v>
      </c>
      <c r="F165" s="493"/>
      <c r="G165" s="492"/>
      <c r="H165" s="112"/>
      <c r="I165" s="113"/>
      <c r="K165" s="115"/>
    </row>
    <row r="166" spans="1:11" s="114" customFormat="1" ht="13.5">
      <c r="A166" s="193"/>
      <c r="B166" s="108"/>
      <c r="C166" s="476"/>
      <c r="D166" s="493"/>
      <c r="E166" s="501" t="s">
        <v>83</v>
      </c>
      <c r="F166" s="493"/>
      <c r="G166" s="492"/>
      <c r="H166" s="112"/>
      <c r="I166" s="113"/>
      <c r="K166" s="115"/>
    </row>
    <row r="167" spans="1:11" s="114" customFormat="1" ht="13.5">
      <c r="A167" s="193"/>
      <c r="B167" s="108"/>
      <c r="C167" s="476"/>
      <c r="D167" s="493"/>
      <c r="E167" s="501" t="s">
        <v>107</v>
      </c>
      <c r="F167" s="493"/>
      <c r="G167" s="492"/>
      <c r="H167" s="112"/>
      <c r="I167" s="113"/>
      <c r="K167" s="115"/>
    </row>
    <row r="168" spans="1:11" s="114" customFormat="1" ht="13.5">
      <c r="A168" s="193"/>
      <c r="B168" s="108"/>
      <c r="C168" s="476"/>
      <c r="D168" s="493"/>
      <c r="E168" s="501" t="s">
        <v>732</v>
      </c>
      <c r="F168" s="538">
        <f>544800000+18071553</f>
        <v>562871553</v>
      </c>
      <c r="G168" s="492">
        <f>+F168-D168</f>
        <v>562871553</v>
      </c>
      <c r="H168" s="112"/>
      <c r="I168" s="113"/>
      <c r="K168" s="115"/>
    </row>
    <row r="169" spans="1:11" s="114" customFormat="1" ht="13.5">
      <c r="A169" s="193"/>
      <c r="B169" s="108"/>
      <c r="C169" s="476">
        <f>+D169</f>
        <v>0</v>
      </c>
      <c r="D169" s="493"/>
      <c r="E169" s="501" t="s">
        <v>708</v>
      </c>
      <c r="F169" s="493"/>
      <c r="G169" s="492">
        <f>+F169</f>
        <v>0</v>
      </c>
      <c r="H169" s="112"/>
      <c r="I169" s="113"/>
      <c r="K169" s="115"/>
    </row>
    <row r="170" spans="1:11" s="114" customFormat="1" ht="13.5">
      <c r="A170" s="193"/>
      <c r="B170" s="108"/>
      <c r="C170" s="476"/>
      <c r="D170" s="493"/>
      <c r="E170" s="501" t="s">
        <v>108</v>
      </c>
      <c r="F170" s="493"/>
      <c r="G170" s="492"/>
      <c r="H170" s="112"/>
      <c r="I170" s="113"/>
      <c r="K170" s="115"/>
    </row>
    <row r="171" spans="1:11" s="114" customFormat="1" ht="13.5">
      <c r="A171" s="193"/>
      <c r="B171" s="108"/>
      <c r="C171" s="476">
        <f>D171-F171</f>
        <v>52928882894</v>
      </c>
      <c r="D171" s="493">
        <v>52928882894</v>
      </c>
      <c r="E171" s="501" t="s">
        <v>696</v>
      </c>
      <c r="F171" s="493"/>
      <c r="G171" s="492"/>
      <c r="H171" s="112"/>
      <c r="I171" s="113"/>
      <c r="K171" s="115"/>
    </row>
    <row r="172" spans="1:11" s="114" customFormat="1" ht="13.5">
      <c r="A172" s="107"/>
      <c r="B172" s="108"/>
      <c r="C172" s="476">
        <f>D172-F172</f>
        <v>242253832</v>
      </c>
      <c r="D172" s="494">
        <f>+ocs합잔!E234</f>
        <v>242253832</v>
      </c>
      <c r="E172" s="515" t="s">
        <v>109</v>
      </c>
      <c r="F172" s="493">
        <f>+ocs합잔!F234</f>
        <v>0</v>
      </c>
      <c r="G172" s="492"/>
      <c r="H172" s="112"/>
      <c r="I172" s="113"/>
      <c r="K172" s="115"/>
    </row>
    <row r="173" spans="1:11" s="114" customFormat="1" ht="13.5">
      <c r="A173" s="193"/>
      <c r="B173" s="108"/>
      <c r="C173" s="476"/>
      <c r="D173" s="493"/>
      <c r="E173" s="501" t="s">
        <v>697</v>
      </c>
      <c r="F173" s="494">
        <f>+ocs합잔!F236</f>
        <v>63189792</v>
      </c>
      <c r="G173" s="492">
        <f>F173-D173</f>
        <v>63189792</v>
      </c>
      <c r="H173" s="112"/>
      <c r="I173" s="113"/>
      <c r="J173" s="115">
        <v>10043588</v>
      </c>
      <c r="K173" s="115"/>
    </row>
    <row r="174" spans="1:11" s="114" customFormat="1" ht="13.5">
      <c r="A174" s="193"/>
      <c r="B174" s="108"/>
      <c r="C174" s="476">
        <f>D174-F174</f>
        <v>0</v>
      </c>
      <c r="D174" s="491"/>
      <c r="E174" s="501" t="s">
        <v>110</v>
      </c>
      <c r="F174" s="493"/>
      <c r="G174" s="492"/>
      <c r="H174" s="112"/>
      <c r="I174" s="113"/>
      <c r="J174" s="201">
        <v>4230248</v>
      </c>
      <c r="K174" s="115"/>
    </row>
    <row r="175" spans="1:11" s="114" customFormat="1" ht="13.5">
      <c r="A175" s="193"/>
      <c r="B175" s="108"/>
      <c r="C175" s="476"/>
      <c r="D175" s="480"/>
      <c r="E175" s="470" t="s">
        <v>704</v>
      </c>
      <c r="F175" s="480"/>
      <c r="G175" s="485">
        <f>F175-D175</f>
        <v>0</v>
      </c>
      <c r="H175" s="112"/>
      <c r="I175" s="113"/>
      <c r="J175" s="115">
        <f>J173+J174</f>
        <v>14273836</v>
      </c>
      <c r="K175" s="115"/>
    </row>
    <row r="176" spans="1:11" s="114" customFormat="1" ht="13.5">
      <c r="A176" s="193"/>
      <c r="B176" s="108"/>
      <c r="C176" s="476">
        <f>D176-F176</f>
        <v>0</v>
      </c>
      <c r="D176" s="480"/>
      <c r="E176" s="470" t="s">
        <v>705</v>
      </c>
      <c r="F176" s="480"/>
      <c r="G176" s="485"/>
      <c r="H176" s="112"/>
      <c r="I176" s="113"/>
      <c r="J176" s="115"/>
      <c r="K176" s="115"/>
    </row>
    <row r="177" spans="1:11" s="114" customFormat="1" ht="14.25" thickBot="1">
      <c r="A177" s="193"/>
      <c r="B177" s="108"/>
      <c r="C177" s="482">
        <f>+D177-F177</f>
        <v>0</v>
      </c>
      <c r="D177" s="480"/>
      <c r="E177" s="471" t="s">
        <v>111</v>
      </c>
      <c r="F177" s="480"/>
      <c r="G177" s="487"/>
      <c r="H177" s="112"/>
      <c r="I177" s="113"/>
      <c r="J177" s="115"/>
      <c r="K177" s="115"/>
    </row>
    <row r="178" spans="1:9" s="114" customFormat="1" ht="15" thickBot="1" thickTop="1">
      <c r="A178" s="176">
        <f>SUM(A6:A177)</f>
        <v>0</v>
      </c>
      <c r="B178" s="176"/>
      <c r="C178" s="483">
        <f>SUM(C6:C177)</f>
        <v>720861707353</v>
      </c>
      <c r="D178" s="483">
        <f>SUM(D6:D177)</f>
        <v>2484877122747</v>
      </c>
      <c r="E178" s="472" t="s">
        <v>112</v>
      </c>
      <c r="F178" s="483">
        <f>SUM(F6:F177)</f>
        <v>2484877122747</v>
      </c>
      <c r="G178" s="488">
        <f>SUM(G6:G177)</f>
        <v>720861707353</v>
      </c>
      <c r="H178" s="178"/>
      <c r="I178" s="178">
        <f>SUM(I6:I177)</f>
        <v>0</v>
      </c>
    </row>
    <row r="179" spans="2:9" ht="14.25">
      <c r="B179" s="119" t="s">
        <v>753</v>
      </c>
      <c r="C179" s="528">
        <v>721821836595</v>
      </c>
      <c r="D179" s="528"/>
      <c r="F179" s="489">
        <f>+D178-F178</f>
        <v>0</v>
      </c>
      <c r="G179" s="490">
        <f>+C178-G178</f>
        <v>0</v>
      </c>
      <c r="I179" s="118">
        <f>+I178-A178</f>
        <v>0</v>
      </c>
    </row>
    <row r="180" spans="1:9" ht="14.25">
      <c r="A180" s="181"/>
      <c r="C180" s="529">
        <f>+C179-C178</f>
        <v>960129242</v>
      </c>
      <c r="D180" s="528"/>
      <c r="F180" s="463"/>
      <c r="I180" s="118" t="e">
        <f>+#REF!+#REF!+#REF!+#REF!+#REF!</f>
        <v>#REF!</v>
      </c>
    </row>
    <row r="181" spans="1:9" ht="14.25">
      <c r="A181" s="118"/>
      <c r="B181" s="119" t="s">
        <v>735</v>
      </c>
      <c r="C181" s="530">
        <f>+C92</f>
        <v>1799727652</v>
      </c>
      <c r="D181" s="530"/>
      <c r="I181" s="118" t="e">
        <f>+I180-I178</f>
        <v>#REF!</v>
      </c>
    </row>
    <row r="182" spans="3:4" ht="14.25">
      <c r="C182" s="531">
        <f>+C180+C181</f>
        <v>2759856894</v>
      </c>
      <c r="D182" s="530"/>
    </row>
    <row r="183" spans="1:7" ht="14.25">
      <c r="A183" s="118"/>
      <c r="C183" s="530"/>
      <c r="D183" s="530">
        <v>2435242128913</v>
      </c>
      <c r="E183" s="527"/>
      <c r="F183" s="526">
        <f>+D183</f>
        <v>2435242128913</v>
      </c>
      <c r="G183" s="464"/>
    </row>
    <row r="184" spans="3:6" ht="14.25">
      <c r="C184" s="530"/>
      <c r="D184" s="530">
        <f>+D178-D183</f>
        <v>49634993834</v>
      </c>
      <c r="E184" s="527"/>
      <c r="F184" s="526">
        <f>+F178-F183</f>
        <v>49634993834</v>
      </c>
    </row>
    <row r="185" spans="3:6" ht="14.25">
      <c r="C185" s="530"/>
      <c r="D185" s="530"/>
      <c r="E185" s="527"/>
      <c r="F185" s="526"/>
    </row>
    <row r="186" spans="3:6" ht="14.25">
      <c r="C186" s="530"/>
      <c r="D186" s="530"/>
      <c r="F186" s="465"/>
    </row>
    <row r="187" spans="3:4" ht="14.25">
      <c r="C187" s="530"/>
      <c r="D187" s="530"/>
    </row>
    <row r="188" spans="2:8" ht="14.25">
      <c r="B188" s="119" t="s">
        <v>1549</v>
      </c>
      <c r="C188" s="530"/>
      <c r="D188" s="532"/>
      <c r="H188" s="118"/>
    </row>
    <row r="189" spans="2:4" ht="14.25">
      <c r="B189" s="119" t="s">
        <v>1546</v>
      </c>
      <c r="C189" s="530">
        <v>6000000000</v>
      </c>
      <c r="D189" s="530"/>
    </row>
    <row r="190" spans="2:4" ht="14.25">
      <c r="B190" s="119" t="s">
        <v>1545</v>
      </c>
      <c r="C190" s="530">
        <v>2659200000</v>
      </c>
      <c r="D190" s="530"/>
    </row>
    <row r="191" spans="3:4" ht="14.25">
      <c r="C191" s="530">
        <v>18071553</v>
      </c>
      <c r="D191" s="530"/>
    </row>
    <row r="192" spans="3:4" ht="14.25">
      <c r="C192" s="530">
        <f>+C189-C190-C191</f>
        <v>3322728447</v>
      </c>
      <c r="D192" s="530"/>
    </row>
    <row r="193" spans="2:4" ht="14.25">
      <c r="B193" s="119" t="s">
        <v>1547</v>
      </c>
      <c r="C193" s="530">
        <v>-544800000</v>
      </c>
      <c r="D193" s="530"/>
    </row>
    <row r="194" spans="3:4" ht="14.25">
      <c r="C194" s="530">
        <v>-18071553</v>
      </c>
      <c r="D194" s="530"/>
    </row>
    <row r="195" spans="2:4" ht="14.25">
      <c r="B195" s="119" t="s">
        <v>1548</v>
      </c>
      <c r="C195" s="530">
        <f>+C193+C192+C194</f>
        <v>2759856894</v>
      </c>
      <c r="D195" s="530"/>
    </row>
    <row r="196" spans="3:4" ht="14.25">
      <c r="C196" s="530">
        <f>+C195-C182</f>
        <v>0</v>
      </c>
      <c r="D196" s="530"/>
    </row>
    <row r="197" spans="3:4" ht="14.25">
      <c r="C197" s="530"/>
      <c r="D197" s="530"/>
    </row>
    <row r="198" spans="3:4" ht="14.25">
      <c r="C198" s="530"/>
      <c r="D198" s="530"/>
    </row>
  </sheetData>
  <sheetProtection/>
  <printOptions horizont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"/>
  <sheetViews>
    <sheetView showGridLines="0" zoomScalePageLayoutView="0" workbookViewId="0" topLeftCell="A127">
      <selection activeCell="E210" sqref="E210"/>
    </sheetView>
  </sheetViews>
  <sheetFormatPr defaultColWidth="9.625" defaultRowHeight="14.25"/>
  <cols>
    <col min="1" max="1" width="16.625" style="119" customWidth="1"/>
    <col min="2" max="2" width="18.00390625" style="119" customWidth="1"/>
    <col min="3" max="3" width="25.75390625" style="119" customWidth="1"/>
    <col min="4" max="4" width="18.25390625" style="119" customWidth="1"/>
    <col min="5" max="5" width="16.625" style="119" customWidth="1"/>
    <col min="6" max="6" width="18.375" style="119" bestFit="1" customWidth="1"/>
    <col min="7" max="7" width="21.625" style="119" bestFit="1" customWidth="1"/>
    <col min="8" max="8" width="20.50390625" style="119" customWidth="1"/>
    <col min="9" max="9" width="17.25390625" style="119" bestFit="1" customWidth="1"/>
    <col min="10" max="16384" width="9.625" style="119" customWidth="1"/>
  </cols>
  <sheetData>
    <row r="1" spans="1:5" ht="31.5">
      <c r="A1" s="149" t="s">
        <v>0</v>
      </c>
      <c r="B1" s="149"/>
      <c r="C1" s="149"/>
      <c r="D1" s="149"/>
      <c r="E1" s="149"/>
    </row>
    <row r="2" spans="1:5" ht="15.75" customHeight="1">
      <c r="A2" s="150" t="str">
        <f>+'시산표(현금유출입)'!C2</f>
        <v>第36期 2019年 2月 28日 現在</v>
      </c>
      <c r="B2" s="150"/>
      <c r="C2" s="150"/>
      <c r="D2" s="150"/>
      <c r="E2" s="150"/>
    </row>
    <row r="3" spans="1:5" ht="14.25">
      <c r="A3" s="115"/>
      <c r="B3" s="114"/>
      <c r="C3" s="114"/>
      <c r="D3" s="114"/>
      <c r="E3" s="114"/>
    </row>
    <row r="4" spans="1:5" s="114" customFormat="1" ht="14.25" thickBot="1">
      <c r="A4" s="114" t="s">
        <v>620</v>
      </c>
      <c r="E4" s="151" t="s">
        <v>511</v>
      </c>
    </row>
    <row r="5" spans="1:5" s="114" customFormat="1" ht="13.5">
      <c r="A5" s="152" t="s">
        <v>2</v>
      </c>
      <c r="B5" s="153" t="s">
        <v>3</v>
      </c>
      <c r="C5" s="153" t="s">
        <v>4</v>
      </c>
      <c r="D5" s="153" t="s">
        <v>5</v>
      </c>
      <c r="E5" s="154" t="s">
        <v>3</v>
      </c>
    </row>
    <row r="6" spans="1:9" s="114" customFormat="1" ht="13.5">
      <c r="A6" s="155">
        <f aca="true" t="shared" si="0" ref="A6:A52">B6-D6</f>
        <v>35451460</v>
      </c>
      <c r="B6" s="109">
        <f>+'시산표(현금유출입)'!D6</f>
        <v>405049643</v>
      </c>
      <c r="C6" s="156" t="s">
        <v>768</v>
      </c>
      <c r="D6" s="109">
        <f>+'시산표(현금유출입)'!F6</f>
        <v>369598183</v>
      </c>
      <c r="E6" s="157" t="s">
        <v>1</v>
      </c>
      <c r="F6" s="158"/>
      <c r="G6" s="115"/>
      <c r="I6" s="115"/>
    </row>
    <row r="7" spans="1:9" s="114" customFormat="1" ht="13.5">
      <c r="A7" s="159">
        <f t="shared" si="0"/>
        <v>156000250446</v>
      </c>
      <c r="B7" s="433">
        <f>+'시산표(현금유출입)'!D7</f>
        <v>1212077532487</v>
      </c>
      <c r="C7" s="110" t="s">
        <v>770</v>
      </c>
      <c r="D7" s="434">
        <f>+'시산표(현금유출입)'!F7</f>
        <v>1056077282041</v>
      </c>
      <c r="E7" s="111"/>
      <c r="G7" s="115"/>
      <c r="I7" s="115"/>
    </row>
    <row r="8" spans="1:9" s="114" customFormat="1" ht="13.5">
      <c r="A8" s="159"/>
      <c r="B8" s="160">
        <f>+'시산표(현금유출입)'!D8</f>
        <v>0</v>
      </c>
      <c r="C8" s="110" t="s">
        <v>772</v>
      </c>
      <c r="D8" s="109">
        <f>+'시산표(현금유출입)'!F8</f>
        <v>0</v>
      </c>
      <c r="E8" s="111">
        <f>D8-B8</f>
        <v>0</v>
      </c>
      <c r="G8" s="115"/>
      <c r="I8" s="115"/>
    </row>
    <row r="9" spans="1:9" s="114" customFormat="1" ht="13.5">
      <c r="A9" s="159">
        <f t="shared" si="0"/>
        <v>0</v>
      </c>
      <c r="B9" s="160">
        <f>+'시산표(현금유출입)'!D9</f>
        <v>0</v>
      </c>
      <c r="C9" s="110" t="s">
        <v>6</v>
      </c>
      <c r="D9" s="109">
        <f>+'시산표(현금유출입)'!F9</f>
        <v>0</v>
      </c>
      <c r="E9" s="111"/>
      <c r="F9" s="115"/>
      <c r="G9" s="115"/>
      <c r="I9" s="115"/>
    </row>
    <row r="10" spans="1:9" s="114" customFormat="1" ht="13.5">
      <c r="A10" s="159">
        <f t="shared" si="0"/>
        <v>5516324080</v>
      </c>
      <c r="B10" s="160">
        <f>+'시산표(현금유출입)'!D10</f>
        <v>131413816321</v>
      </c>
      <c r="C10" s="517" t="s">
        <v>804</v>
      </c>
      <c r="D10" s="109">
        <f>+'시산표(현금유출입)'!F10</f>
        <v>125897492241</v>
      </c>
      <c r="E10" s="111"/>
      <c r="F10" s="115"/>
      <c r="G10" s="115"/>
      <c r="I10" s="115"/>
    </row>
    <row r="11" spans="1:9" s="114" customFormat="1" ht="13.5">
      <c r="A11" s="159">
        <f t="shared" si="0"/>
        <v>7115610212</v>
      </c>
      <c r="B11" s="160">
        <f>+'시산표(현금유출입)'!D11</f>
        <v>133453963999</v>
      </c>
      <c r="C11" s="110" t="s">
        <v>7</v>
      </c>
      <c r="D11" s="109">
        <f>+'시산표(현금유출입)'!F11</f>
        <v>126338353787</v>
      </c>
      <c r="E11" s="111"/>
      <c r="F11" s="115"/>
      <c r="G11" s="115"/>
      <c r="I11" s="115"/>
    </row>
    <row r="12" spans="1:9" s="114" customFormat="1" ht="13.5">
      <c r="A12" s="159">
        <f t="shared" si="0"/>
        <v>13824559713</v>
      </c>
      <c r="B12" s="160">
        <f>+'시산표(현금유출입)'!D12</f>
        <v>78736782738</v>
      </c>
      <c r="C12" s="110" t="s">
        <v>8</v>
      </c>
      <c r="D12" s="109">
        <f>+'시산표(현금유출입)'!F12</f>
        <v>64912223025</v>
      </c>
      <c r="E12" s="111"/>
      <c r="F12" s="115"/>
      <c r="G12" s="115"/>
      <c r="I12" s="115"/>
    </row>
    <row r="13" spans="1:9" s="114" customFormat="1" ht="13.5">
      <c r="A13" s="159">
        <f t="shared" si="0"/>
        <v>585686099</v>
      </c>
      <c r="B13" s="160">
        <f>'시산표(현금유출입)'!D13</f>
        <v>50908985809</v>
      </c>
      <c r="C13" s="517" t="s">
        <v>806</v>
      </c>
      <c r="D13" s="109">
        <f>'시산표(현금유출입)'!F13</f>
        <v>50323299710</v>
      </c>
      <c r="E13" s="111"/>
      <c r="F13" s="115"/>
      <c r="G13" s="115"/>
      <c r="I13" s="115"/>
    </row>
    <row r="14" spans="1:9" s="114" customFormat="1" ht="13.5">
      <c r="A14" s="159">
        <f t="shared" si="0"/>
        <v>2199519118</v>
      </c>
      <c r="B14" s="109">
        <f>+'시산표(현금유출입)'!D14</f>
        <v>6437462771</v>
      </c>
      <c r="C14" s="517" t="s">
        <v>807</v>
      </c>
      <c r="D14" s="109">
        <f>+'시산표(현금유출입)'!F14</f>
        <v>4237943653</v>
      </c>
      <c r="E14" s="111"/>
      <c r="F14" s="115"/>
      <c r="G14" s="115"/>
      <c r="I14" s="115"/>
    </row>
    <row r="15" spans="1:9" s="114" customFormat="1" ht="13.5">
      <c r="A15" s="159">
        <f t="shared" si="0"/>
        <v>0</v>
      </c>
      <c r="B15" s="109">
        <f>+'시산표(현금유출입)'!D15</f>
        <v>533266630</v>
      </c>
      <c r="C15" s="110" t="s">
        <v>9</v>
      </c>
      <c r="D15" s="109">
        <f>+'시산표(현금유출입)'!F15</f>
        <v>533266630</v>
      </c>
      <c r="E15" s="111"/>
      <c r="F15" s="115"/>
      <c r="G15" s="115"/>
      <c r="I15" s="115"/>
    </row>
    <row r="16" spans="1:9" s="114" customFormat="1" ht="13.5">
      <c r="A16" s="159">
        <f t="shared" si="0"/>
        <v>0</v>
      </c>
      <c r="B16" s="109">
        <f>+'시산표(현금유출입)'!D16</f>
        <v>0</v>
      </c>
      <c r="C16" s="110" t="s">
        <v>10</v>
      </c>
      <c r="D16" s="109">
        <f>+'시산표(현금유출입)'!F16</f>
        <v>0</v>
      </c>
      <c r="E16" s="111"/>
      <c r="F16" s="115"/>
      <c r="G16" s="115"/>
      <c r="I16" s="115"/>
    </row>
    <row r="17" spans="1:9" s="114" customFormat="1" ht="13.5">
      <c r="A17" s="159">
        <f t="shared" si="0"/>
        <v>0</v>
      </c>
      <c r="B17" s="109">
        <f>+'시산표(현금유출입)'!D17</f>
        <v>0</v>
      </c>
      <c r="C17" s="110" t="s">
        <v>11</v>
      </c>
      <c r="D17" s="109">
        <f>+'시산표(현금유출입)'!F17</f>
        <v>0</v>
      </c>
      <c r="E17" s="111"/>
      <c r="G17" s="115"/>
      <c r="I17" s="115"/>
    </row>
    <row r="18" spans="1:9" s="114" customFormat="1" ht="13.5">
      <c r="A18" s="159">
        <f t="shared" si="0"/>
        <v>435177580</v>
      </c>
      <c r="B18" s="109">
        <f>+'시산표(현금유출입)'!D18</f>
        <v>29785768909</v>
      </c>
      <c r="C18" s="110" t="s">
        <v>12</v>
      </c>
      <c r="D18" s="109">
        <f>+'시산표(현금유출입)'!F18</f>
        <v>29350591329</v>
      </c>
      <c r="E18" s="111"/>
      <c r="G18" s="115"/>
      <c r="I18" s="115"/>
    </row>
    <row r="19" spans="1:9" s="114" customFormat="1" ht="13.5">
      <c r="A19" s="159">
        <f t="shared" si="0"/>
        <v>27308090</v>
      </c>
      <c r="B19" s="109">
        <f>+'시산표(현금유출입)'!D19</f>
        <v>19097346996</v>
      </c>
      <c r="C19" s="110" t="s">
        <v>13</v>
      </c>
      <c r="D19" s="109">
        <f>+'시산표(현금유출입)'!F19</f>
        <v>19070038906</v>
      </c>
      <c r="E19" s="111"/>
      <c r="G19" s="115"/>
      <c r="I19" s="115"/>
    </row>
    <row r="20" spans="1:9" s="114" customFormat="1" ht="13.5">
      <c r="A20" s="159">
        <f t="shared" si="0"/>
        <v>5885400</v>
      </c>
      <c r="B20" s="109">
        <f>+'시산표(현금유출입)'!D20</f>
        <v>9417203411</v>
      </c>
      <c r="C20" s="110" t="s">
        <v>14</v>
      </c>
      <c r="D20" s="109">
        <f>+'시산표(현금유출입)'!F20</f>
        <v>9411318011</v>
      </c>
      <c r="E20" s="111"/>
      <c r="G20" s="115"/>
      <c r="I20" s="115"/>
    </row>
    <row r="21" spans="1:9" s="114" customFormat="1" ht="13.5">
      <c r="A21" s="159">
        <f t="shared" si="0"/>
        <v>0</v>
      </c>
      <c r="B21" s="109">
        <f>+'시산표(현금유출입)'!D21</f>
        <v>0</v>
      </c>
      <c r="C21" s="110" t="s">
        <v>673</v>
      </c>
      <c r="D21" s="109">
        <f>+'시산표(현금유출입)'!F21</f>
        <v>0</v>
      </c>
      <c r="E21" s="111"/>
      <c r="G21" s="115"/>
      <c r="I21" s="115"/>
    </row>
    <row r="22" spans="1:9" s="114" customFormat="1" ht="13.5">
      <c r="A22" s="159">
        <f t="shared" si="0"/>
        <v>0</v>
      </c>
      <c r="B22" s="109">
        <f>+'시산표(현금유출입)'!D22</f>
        <v>0</v>
      </c>
      <c r="C22" s="110" t="s">
        <v>15</v>
      </c>
      <c r="D22" s="109">
        <f>+'시산표(현금유출입)'!F22</f>
        <v>0</v>
      </c>
      <c r="E22" s="111"/>
      <c r="G22" s="115"/>
      <c r="I22" s="115"/>
    </row>
    <row r="23" spans="1:9" s="114" customFormat="1" ht="13.5">
      <c r="A23" s="159">
        <f t="shared" si="0"/>
        <v>221279841</v>
      </c>
      <c r="B23" s="109">
        <f>+'시산표(현금유출입)'!D23</f>
        <v>2275312005</v>
      </c>
      <c r="C23" s="110" t="s">
        <v>16</v>
      </c>
      <c r="D23" s="109">
        <f>+'시산표(현금유출입)'!F23</f>
        <v>2054032164</v>
      </c>
      <c r="E23" s="111"/>
      <c r="G23" s="115"/>
      <c r="I23" s="115"/>
    </row>
    <row r="24" spans="1:9" s="114" customFormat="1" ht="13.5">
      <c r="A24" s="159">
        <f t="shared" si="0"/>
        <v>9242810</v>
      </c>
      <c r="B24" s="109">
        <f>+'시산표(현금유출입)'!D24</f>
        <v>16623030</v>
      </c>
      <c r="C24" s="110" t="s">
        <v>17</v>
      </c>
      <c r="D24" s="109">
        <f>+'시산표(현금유출입)'!F24</f>
        <v>7380220</v>
      </c>
      <c r="E24" s="111"/>
      <c r="G24" s="115"/>
      <c r="I24" s="115"/>
    </row>
    <row r="25" spans="1:9" s="114" customFormat="1" ht="13.5">
      <c r="A25" s="159">
        <f t="shared" si="0"/>
        <v>500554740</v>
      </c>
      <c r="B25" s="109">
        <f>+'시산표(현금유출입)'!D25</f>
        <v>841898300</v>
      </c>
      <c r="C25" s="110" t="s">
        <v>18</v>
      </c>
      <c r="D25" s="109">
        <f>+'시산표(현금유출입)'!F25</f>
        <v>341343560</v>
      </c>
      <c r="E25" s="111"/>
      <c r="G25" s="115"/>
      <c r="I25" s="115"/>
    </row>
    <row r="26" spans="1:9" s="114" customFormat="1" ht="13.5">
      <c r="A26" s="159">
        <f t="shared" si="0"/>
        <v>161564392</v>
      </c>
      <c r="B26" s="109">
        <f>+'시산표(현금유출입)'!D26</f>
        <v>701545652</v>
      </c>
      <c r="C26" s="110" t="s">
        <v>674</v>
      </c>
      <c r="D26" s="109">
        <f>+'시산표(현금유출입)'!F26</f>
        <v>539981260</v>
      </c>
      <c r="E26" s="111"/>
      <c r="G26" s="115"/>
      <c r="I26" s="115"/>
    </row>
    <row r="27" spans="1:9" s="114" customFormat="1" ht="13.5">
      <c r="A27" s="159">
        <f t="shared" si="0"/>
        <v>0</v>
      </c>
      <c r="B27" s="109">
        <f>+'시산표(현금유출입)'!D27</f>
        <v>0</v>
      </c>
      <c r="C27" s="110" t="s">
        <v>19</v>
      </c>
      <c r="D27" s="109">
        <f>+'시산표(현금유출입)'!F27</f>
        <v>0</v>
      </c>
      <c r="E27" s="111"/>
      <c r="G27" s="115"/>
      <c r="I27" s="115"/>
    </row>
    <row r="28" spans="1:9" s="114" customFormat="1" ht="13.5">
      <c r="A28" s="159">
        <f t="shared" si="0"/>
        <v>0</v>
      </c>
      <c r="B28" s="109">
        <f>+'시산표(현금유출입)'!D28</f>
        <v>0</v>
      </c>
      <c r="C28" s="110" t="s">
        <v>20</v>
      </c>
      <c r="D28" s="109">
        <f>+'시산표(현금유출입)'!F28</f>
        <v>0</v>
      </c>
      <c r="E28" s="111"/>
      <c r="G28" s="115"/>
      <c r="I28" s="115"/>
    </row>
    <row r="29" spans="1:9" s="114" customFormat="1" ht="13.5">
      <c r="A29" s="159">
        <f t="shared" si="0"/>
        <v>0</v>
      </c>
      <c r="B29" s="109">
        <f>+'시산표(현금유출입)'!D29</f>
        <v>0</v>
      </c>
      <c r="C29" s="110" t="s">
        <v>21</v>
      </c>
      <c r="D29" s="109">
        <f>+'시산표(현금유출입)'!F29</f>
        <v>0</v>
      </c>
      <c r="E29" s="111"/>
      <c r="G29" s="115"/>
      <c r="I29" s="115"/>
    </row>
    <row r="30" spans="1:9" s="114" customFormat="1" ht="13.5">
      <c r="A30" s="159">
        <f t="shared" si="0"/>
        <v>2659200000</v>
      </c>
      <c r="B30" s="109">
        <f>+'시산표(현금유출입)'!D30</f>
        <v>2659200000</v>
      </c>
      <c r="C30" s="110" t="s">
        <v>797</v>
      </c>
      <c r="D30" s="109">
        <f>+'시산표(현금유출입)'!F30</f>
        <v>0</v>
      </c>
      <c r="E30" s="111"/>
      <c r="G30" s="115"/>
      <c r="I30" s="115"/>
    </row>
    <row r="31" spans="1:9" s="114" customFormat="1" ht="13.5">
      <c r="A31" s="159">
        <f t="shared" si="0"/>
        <v>2020541708</v>
      </c>
      <c r="B31" s="109">
        <f>+'시산표(현금유출입)'!D31</f>
        <v>2020641708</v>
      </c>
      <c r="C31" s="110" t="s">
        <v>798</v>
      </c>
      <c r="D31" s="109">
        <f>+'시산표(현금유출입)'!F31</f>
        <v>100000</v>
      </c>
      <c r="E31" s="111"/>
      <c r="G31" s="115"/>
      <c r="I31" s="115"/>
    </row>
    <row r="32" spans="1:9" s="114" customFormat="1" ht="13.5">
      <c r="A32" s="159">
        <f t="shared" si="0"/>
        <v>1100000</v>
      </c>
      <c r="B32" s="109">
        <f>+'시산표(현금유출입)'!D32</f>
        <v>1100000</v>
      </c>
      <c r="C32" s="110" t="s">
        <v>799</v>
      </c>
      <c r="D32" s="109">
        <f>+'시산표(현금유출입)'!F32</f>
        <v>0</v>
      </c>
      <c r="E32" s="111"/>
      <c r="G32" s="115"/>
      <c r="I32" s="115"/>
    </row>
    <row r="33" spans="1:9" s="114" customFormat="1" ht="13.5">
      <c r="A33" s="159">
        <f t="shared" si="0"/>
        <v>752911500</v>
      </c>
      <c r="B33" s="109">
        <f>+'시산표(현금유출입)'!D33</f>
        <v>752911500</v>
      </c>
      <c r="C33" s="110" t="s">
        <v>814</v>
      </c>
      <c r="D33" s="109">
        <f>+'시산표(현금유출입)'!F33</f>
        <v>0</v>
      </c>
      <c r="E33" s="111"/>
      <c r="G33" s="115"/>
      <c r="I33" s="115"/>
    </row>
    <row r="34" spans="1:9" s="114" customFormat="1" ht="13.5">
      <c r="A34" s="159">
        <f t="shared" si="0"/>
        <v>0</v>
      </c>
      <c r="B34" s="109">
        <f>+'시산표(현금유출입)'!D34</f>
        <v>0</v>
      </c>
      <c r="C34" s="110" t="s">
        <v>22</v>
      </c>
      <c r="D34" s="109">
        <f>+'시산표(현금유출입)'!F34</f>
        <v>0</v>
      </c>
      <c r="E34" s="111"/>
      <c r="G34" s="115"/>
      <c r="I34" s="115"/>
    </row>
    <row r="35" spans="1:9" s="114" customFormat="1" ht="13.5">
      <c r="A35" s="159">
        <f t="shared" si="0"/>
        <v>220234000</v>
      </c>
      <c r="B35" s="109">
        <f>+'시산표(현금유출입)'!D35</f>
        <v>220234000</v>
      </c>
      <c r="C35" s="110" t="s">
        <v>23</v>
      </c>
      <c r="D35" s="109">
        <f>+'시산표(현금유출입)'!F35</f>
        <v>0</v>
      </c>
      <c r="E35" s="111"/>
      <c r="G35" s="115"/>
      <c r="I35" s="115"/>
    </row>
    <row r="36" spans="1:9" s="114" customFormat="1" ht="13.5">
      <c r="A36" s="159">
        <f t="shared" si="0"/>
        <v>24042651</v>
      </c>
      <c r="B36" s="109">
        <f>+'시산표(현금유출입)'!D36</f>
        <v>24042651</v>
      </c>
      <c r="C36" s="110" t="s">
        <v>24</v>
      </c>
      <c r="D36" s="109">
        <f>+'시산표(현금유출입)'!F36</f>
        <v>0</v>
      </c>
      <c r="E36" s="111"/>
      <c r="G36" s="115"/>
      <c r="I36" s="115"/>
    </row>
    <row r="37" spans="1:9" s="114" customFormat="1" ht="13.5">
      <c r="A37" s="159">
        <f>B37-D37</f>
        <v>14000000</v>
      </c>
      <c r="B37" s="109">
        <f>+'시산표(현금유출입)'!D37</f>
        <v>14000000</v>
      </c>
      <c r="C37" s="110" t="s">
        <v>25</v>
      </c>
      <c r="D37" s="109">
        <f>+'시산표(현금유출입)'!F37</f>
        <v>0</v>
      </c>
      <c r="E37" s="111"/>
      <c r="G37" s="115"/>
      <c r="I37" s="115"/>
    </row>
    <row r="38" spans="1:9" s="114" customFormat="1" ht="13.5">
      <c r="A38" s="159">
        <f>B38-D38</f>
        <v>54011527248</v>
      </c>
      <c r="B38" s="109">
        <f>+'시산표(현금유출입)'!D38</f>
        <v>54020278677</v>
      </c>
      <c r="C38" s="110" t="s">
        <v>26</v>
      </c>
      <c r="D38" s="109">
        <f>+'시산표(현금유출입)'!F38</f>
        <v>8751429</v>
      </c>
      <c r="E38" s="111"/>
      <c r="G38" s="115"/>
      <c r="I38" s="115"/>
    </row>
    <row r="39" spans="1:9" s="114" customFormat="1" ht="13.5">
      <c r="A39" s="159">
        <f t="shared" si="0"/>
        <v>136694666319</v>
      </c>
      <c r="B39" s="109">
        <f>+'시산표(현금유출입)'!D39</f>
        <v>136722199990</v>
      </c>
      <c r="C39" s="110" t="s">
        <v>27</v>
      </c>
      <c r="D39" s="109">
        <f>+'시산표(현금유출입)'!F39</f>
        <v>27533671</v>
      </c>
      <c r="E39" s="111"/>
      <c r="G39" s="115"/>
      <c r="I39" s="115"/>
    </row>
    <row r="40" spans="1:9" s="114" customFormat="1" ht="13.5">
      <c r="A40" s="159"/>
      <c r="B40" s="109">
        <f>+'시산표(현금유출입)'!D40</f>
        <v>85374000</v>
      </c>
      <c r="C40" s="110" t="s">
        <v>762</v>
      </c>
      <c r="D40" s="109">
        <f>+'시산표(현금유출입)'!F40</f>
        <v>2341385334</v>
      </c>
      <c r="E40" s="111">
        <f>+D40-B40</f>
        <v>2256011334</v>
      </c>
      <c r="G40" s="115"/>
      <c r="I40" s="115"/>
    </row>
    <row r="41" spans="1:9" s="114" customFormat="1" ht="13.5">
      <c r="A41" s="159">
        <f t="shared" si="0"/>
        <v>0</v>
      </c>
      <c r="B41" s="109">
        <f>+'시산표(현금유출입)'!D41</f>
        <v>0</v>
      </c>
      <c r="C41" s="110" t="s">
        <v>28</v>
      </c>
      <c r="D41" s="109">
        <f>+'시산표(현금유출입)'!F41</f>
        <v>0</v>
      </c>
      <c r="E41" s="111">
        <f>+'시산표(현금유출입)'!G41</f>
        <v>0</v>
      </c>
      <c r="G41" s="115"/>
      <c r="I41" s="115"/>
    </row>
    <row r="42" spans="1:9" s="114" customFormat="1" ht="13.5">
      <c r="A42" s="159">
        <f t="shared" si="0"/>
        <v>1955599236</v>
      </c>
      <c r="B42" s="109">
        <f>+'시산표(현금유출입)'!D42</f>
        <v>1955599236</v>
      </c>
      <c r="C42" s="110" t="s">
        <v>29</v>
      </c>
      <c r="D42" s="109">
        <f>+'시산표(현금유출입)'!F42</f>
        <v>0</v>
      </c>
      <c r="E42" s="111">
        <f>+'시산표(현금유출입)'!G42</f>
        <v>0</v>
      </c>
      <c r="G42" s="115"/>
      <c r="I42" s="115"/>
    </row>
    <row r="43" spans="1:9" s="114" customFormat="1" ht="13.5">
      <c r="A43" s="159">
        <f t="shared" si="0"/>
        <v>99763314631</v>
      </c>
      <c r="B43" s="109">
        <f>+'시산표(현금유출입)'!D43</f>
        <v>99763314631</v>
      </c>
      <c r="C43" s="110" t="s">
        <v>30</v>
      </c>
      <c r="D43" s="109">
        <f>+'시산표(현금유출입)'!F43</f>
        <v>0</v>
      </c>
      <c r="E43" s="111">
        <f>+'시산표(현금유출입)'!G43</f>
        <v>0</v>
      </c>
      <c r="G43" s="115"/>
      <c r="I43" s="115"/>
    </row>
    <row r="44" spans="1:9" s="114" customFormat="1" ht="13.5">
      <c r="A44" s="159"/>
      <c r="B44" s="109">
        <f>+'시산표(현금유출입)'!D44</f>
        <v>507878686</v>
      </c>
      <c r="C44" s="110" t="s">
        <v>764</v>
      </c>
      <c r="D44" s="158">
        <f>+'시산표(현금유출입)'!F44</f>
        <v>898565492</v>
      </c>
      <c r="E44" s="111">
        <f>+'시산표(현금유출입)'!G44</f>
        <v>390686806</v>
      </c>
      <c r="G44" s="115"/>
      <c r="I44" s="115"/>
    </row>
    <row r="45" spans="1:9" s="114" customFormat="1" ht="13.5">
      <c r="A45" s="159">
        <f t="shared" si="0"/>
        <v>741260074</v>
      </c>
      <c r="B45" s="109">
        <f>+'시산표(현금유출입)'!D45</f>
        <v>774510074</v>
      </c>
      <c r="C45" s="110" t="s">
        <v>31</v>
      </c>
      <c r="D45" s="109">
        <f>+'시산표(현금유출입)'!F45</f>
        <v>33250000</v>
      </c>
      <c r="E45" s="111"/>
      <c r="G45" s="115"/>
      <c r="I45" s="115"/>
    </row>
    <row r="46" spans="1:9" s="114" customFormat="1" ht="13.5">
      <c r="A46" s="159">
        <f t="shared" si="0"/>
        <v>19606621448</v>
      </c>
      <c r="B46" s="109">
        <f>+'시산표(현금유출입)'!D46</f>
        <v>19951866373</v>
      </c>
      <c r="C46" s="110" t="s">
        <v>32</v>
      </c>
      <c r="D46" s="109">
        <f>+'시산표(현금유출입)'!F46</f>
        <v>345244925</v>
      </c>
      <c r="E46" s="111"/>
      <c r="G46" s="115"/>
      <c r="I46" s="115"/>
    </row>
    <row r="47" spans="1:9" s="114" customFormat="1" ht="13.5">
      <c r="A47" s="159"/>
      <c r="B47" s="109">
        <f>+'시산표(현금유출입)'!D47</f>
        <v>14333479</v>
      </c>
      <c r="C47" s="110" t="s">
        <v>766</v>
      </c>
      <c r="D47" s="109">
        <f>+'시산표(현금유출입)'!F47</f>
        <v>27146749</v>
      </c>
      <c r="E47" s="111">
        <f>+'시산표(현금유출입)'!G47</f>
        <v>12813270</v>
      </c>
      <c r="G47" s="115"/>
      <c r="I47" s="115"/>
    </row>
    <row r="48" spans="1:9" s="114" customFormat="1" ht="13.5">
      <c r="A48" s="159">
        <f t="shared" si="0"/>
        <v>0</v>
      </c>
      <c r="B48" s="109">
        <f>+'시산표(현금유출입)'!D48</f>
        <v>0</v>
      </c>
      <c r="C48" s="110" t="s">
        <v>33</v>
      </c>
      <c r="D48" s="109">
        <f>+'시산표(현금유출입)'!F48</f>
        <v>0</v>
      </c>
      <c r="E48" s="111"/>
      <c r="G48" s="115"/>
      <c r="I48" s="115"/>
    </row>
    <row r="49" spans="1:9" s="114" customFormat="1" ht="13.5">
      <c r="A49" s="159">
        <f t="shared" si="0"/>
        <v>473980000</v>
      </c>
      <c r="B49" s="109">
        <f>+'시산표(현금유출입)'!D49</f>
        <v>4256713980</v>
      </c>
      <c r="C49" s="110" t="s">
        <v>34</v>
      </c>
      <c r="D49" s="109">
        <f>+'시산표(현금유출입)'!F49</f>
        <v>3782733980</v>
      </c>
      <c r="E49" s="111"/>
      <c r="G49" s="115"/>
      <c r="I49" s="115"/>
    </row>
    <row r="50" spans="1:9" s="114" customFormat="1" ht="13.5">
      <c r="A50" s="159">
        <f t="shared" si="0"/>
        <v>748348648</v>
      </c>
      <c r="B50" s="109">
        <f>+'시산표(현금유출입)'!D50</f>
        <v>841042084</v>
      </c>
      <c r="C50" s="110" t="s">
        <v>773</v>
      </c>
      <c r="D50" s="109">
        <f>+'시산표(현금유출입)'!F50</f>
        <v>92693436</v>
      </c>
      <c r="E50" s="111">
        <f>+'시산표(현금유출입)'!G50</f>
        <v>0</v>
      </c>
      <c r="G50" s="115"/>
      <c r="I50" s="115"/>
    </row>
    <row r="51" spans="1:9" s="114" customFormat="1" ht="13.5">
      <c r="A51" s="159">
        <f t="shared" si="0"/>
        <v>0</v>
      </c>
      <c r="B51" s="109">
        <f>+'시산표(현금유출입)'!D51</f>
        <v>0</v>
      </c>
      <c r="C51" s="110" t="s">
        <v>35</v>
      </c>
      <c r="D51" s="109">
        <f>+'시산표(현금유출입)'!F51</f>
        <v>0</v>
      </c>
      <c r="E51" s="111"/>
      <c r="G51" s="115"/>
      <c r="I51" s="115"/>
    </row>
    <row r="52" spans="1:9" s="114" customFormat="1" ht="13.5">
      <c r="A52" s="159">
        <f t="shared" si="0"/>
        <v>0</v>
      </c>
      <c r="B52" s="109">
        <f>+'시산표(현금유출입)'!D52</f>
        <v>0</v>
      </c>
      <c r="C52" s="110" t="s">
        <v>36</v>
      </c>
      <c r="D52" s="109">
        <f>+'시산표(현금유출입)'!F52</f>
        <v>0</v>
      </c>
      <c r="E52" s="111">
        <f aca="true" t="shared" si="1" ref="E52:E87">D52-B52</f>
        <v>0</v>
      </c>
      <c r="G52" s="115"/>
      <c r="I52" s="115"/>
    </row>
    <row r="53" spans="1:9" s="114" customFormat="1" ht="13.5">
      <c r="A53" s="159"/>
      <c r="B53" s="109">
        <f>+'시산표(현금유출입)'!D53</f>
        <v>65837270540</v>
      </c>
      <c r="C53" s="110" t="s">
        <v>675</v>
      </c>
      <c r="D53" s="109">
        <f>+'시산표(현금유출입)'!F53</f>
        <v>76045160633</v>
      </c>
      <c r="E53" s="111">
        <f>D53-B53</f>
        <v>10207890093</v>
      </c>
      <c r="F53" s="158"/>
      <c r="G53" s="115"/>
      <c r="I53" s="115"/>
    </row>
    <row r="54" spans="1:9" s="114" customFormat="1" ht="13.5">
      <c r="A54" s="159"/>
      <c r="B54" s="109">
        <f>+'시산표(현금유출입)'!D54</f>
        <v>60643590683</v>
      </c>
      <c r="C54" s="110" t="s">
        <v>37</v>
      </c>
      <c r="D54" s="109">
        <f>+'시산표(현금유출입)'!F54</f>
        <v>79011065183</v>
      </c>
      <c r="E54" s="111">
        <f t="shared" si="1"/>
        <v>18367474500</v>
      </c>
      <c r="F54" s="161"/>
      <c r="G54" s="115"/>
      <c r="I54" s="115"/>
    </row>
    <row r="55" spans="1:9" s="114" customFormat="1" ht="13.5">
      <c r="A55" s="159"/>
      <c r="B55" s="109">
        <f>+'시산표(현금유출입)'!D55</f>
        <v>23560309477</v>
      </c>
      <c r="C55" s="110" t="s">
        <v>38</v>
      </c>
      <c r="D55" s="109">
        <f>+'시산표(현금유출입)'!F55</f>
        <v>25176558940</v>
      </c>
      <c r="E55" s="111">
        <f t="shared" si="1"/>
        <v>1616249463</v>
      </c>
      <c r="F55" s="115"/>
      <c r="G55" s="115"/>
      <c r="I55" s="115"/>
    </row>
    <row r="56" spans="1:9" s="114" customFormat="1" ht="13.5">
      <c r="A56" s="159"/>
      <c r="B56" s="109">
        <f>+'시산표(현금유출입)'!D56</f>
        <v>0</v>
      </c>
      <c r="C56" s="110" t="s">
        <v>39</v>
      </c>
      <c r="D56" s="109">
        <f>+'시산표(현금유출입)'!F56</f>
        <v>0</v>
      </c>
      <c r="E56" s="111">
        <f t="shared" si="1"/>
        <v>0</v>
      </c>
      <c r="G56" s="115"/>
      <c r="I56" s="115"/>
    </row>
    <row r="57" spans="1:9" s="114" customFormat="1" ht="13.5">
      <c r="A57" s="159"/>
      <c r="C57" s="110" t="s">
        <v>40</v>
      </c>
      <c r="E57" s="111">
        <f t="shared" si="1"/>
        <v>0</v>
      </c>
      <c r="G57" s="115"/>
      <c r="I57" s="115"/>
    </row>
    <row r="58" spans="1:9" s="114" customFormat="1" ht="13.5">
      <c r="A58" s="159"/>
      <c r="B58" s="109">
        <f>+'시산표(현금유출입)'!D58</f>
        <v>0</v>
      </c>
      <c r="C58" s="110" t="s">
        <v>41</v>
      </c>
      <c r="D58" s="109">
        <f>+'시산표(현금유출입)'!F58</f>
        <v>0</v>
      </c>
      <c r="E58" s="111">
        <f t="shared" si="1"/>
        <v>0</v>
      </c>
      <c r="G58" s="115"/>
      <c r="I58" s="115"/>
    </row>
    <row r="59" spans="1:9" s="114" customFormat="1" ht="13.5">
      <c r="A59" s="159"/>
      <c r="B59" s="109">
        <f>+'시산표(현금유출입)'!D59</f>
        <v>0</v>
      </c>
      <c r="C59" s="110" t="s">
        <v>42</v>
      </c>
      <c r="D59" s="109">
        <f>+'시산표(현금유출입)'!F59</f>
        <v>0</v>
      </c>
      <c r="E59" s="111">
        <f t="shared" si="1"/>
        <v>0</v>
      </c>
      <c r="G59" s="115"/>
      <c r="I59" s="115"/>
    </row>
    <row r="60" spans="1:9" s="114" customFormat="1" ht="13.5">
      <c r="A60" s="159"/>
      <c r="B60" s="109">
        <f>+'시산표(현금유출입)'!D60</f>
        <v>14774072813</v>
      </c>
      <c r="C60" s="110" t="s">
        <v>43</v>
      </c>
      <c r="D60" s="109">
        <f>+'시산표(현금유출입)'!F60</f>
        <v>15249131089</v>
      </c>
      <c r="E60" s="111">
        <f t="shared" si="1"/>
        <v>475058276</v>
      </c>
      <c r="G60" s="115"/>
      <c r="I60" s="115"/>
    </row>
    <row r="61" spans="1:9" s="114" customFormat="1" ht="14.25">
      <c r="A61" s="159"/>
      <c r="B61" s="109">
        <f>+'시산표(현금유출입)'!D61</f>
        <v>16170264618</v>
      </c>
      <c r="C61" s="110" t="s">
        <v>44</v>
      </c>
      <c r="D61" s="109">
        <f>+'시산표(현금유출입)'!F61</f>
        <v>16933928573</v>
      </c>
      <c r="E61" s="111">
        <f t="shared" si="1"/>
        <v>763663955</v>
      </c>
      <c r="F61" s="162"/>
      <c r="G61" s="115"/>
      <c r="H61" s="115"/>
      <c r="I61" s="115"/>
    </row>
    <row r="62" spans="1:9" s="114" customFormat="1" ht="14.25" thickBot="1">
      <c r="A62" s="163"/>
      <c r="B62" s="164">
        <f>+'시산표(현금유출입)'!D62</f>
        <v>0</v>
      </c>
      <c r="C62" s="165" t="s">
        <v>45</v>
      </c>
      <c r="D62" s="164">
        <f>+'시산표(현금유출입)'!F62</f>
        <v>0</v>
      </c>
      <c r="E62" s="166">
        <f t="shared" si="1"/>
        <v>0</v>
      </c>
      <c r="F62" s="158"/>
      <c r="G62" s="115"/>
      <c r="I62" s="115"/>
    </row>
    <row r="63" spans="1:9" s="114" customFormat="1" ht="13.5">
      <c r="A63" s="159"/>
      <c r="B63" s="109">
        <f>+'시산표(현금유출입)'!D63</f>
        <v>929451256</v>
      </c>
      <c r="C63" s="110" t="s">
        <v>676</v>
      </c>
      <c r="D63" s="109">
        <f>+'시산표(현금유출입)'!F63</f>
        <v>1850353496</v>
      </c>
      <c r="E63" s="111">
        <f>D63-B63</f>
        <v>920902240</v>
      </c>
      <c r="F63" s="158"/>
      <c r="G63" s="115"/>
      <c r="I63" s="115"/>
    </row>
    <row r="64" spans="1:9" s="114" customFormat="1" ht="13.5">
      <c r="A64" s="159"/>
      <c r="B64" s="109">
        <f>+'시산표(현금유출입)'!D64</f>
        <v>0</v>
      </c>
      <c r="C64" s="110" t="s">
        <v>46</v>
      </c>
      <c r="D64" s="109">
        <f>+'시산표(현금유출입)'!F64</f>
        <v>0</v>
      </c>
      <c r="E64" s="111">
        <f>D64-B64</f>
        <v>0</v>
      </c>
      <c r="G64" s="115"/>
      <c r="H64" s="115"/>
      <c r="I64" s="115"/>
    </row>
    <row r="65" spans="1:9" s="114" customFormat="1" ht="13.5">
      <c r="A65" s="159"/>
      <c r="B65" s="109">
        <f>+'시산표(현금유출입)'!D65</f>
        <v>0</v>
      </c>
      <c r="C65" s="110" t="s">
        <v>47</v>
      </c>
      <c r="D65" s="109">
        <f>+'시산표(현금유출입)'!F65</f>
        <v>3113000000</v>
      </c>
      <c r="E65" s="111">
        <f t="shared" si="1"/>
        <v>3113000000</v>
      </c>
      <c r="G65" s="115"/>
      <c r="I65" s="115"/>
    </row>
    <row r="66" spans="1:9" s="114" customFormat="1" ht="13.5">
      <c r="A66" s="159"/>
      <c r="B66" s="109">
        <f>+'시산표(현금유출입)'!D66</f>
        <v>0</v>
      </c>
      <c r="C66" s="110" t="s">
        <v>48</v>
      </c>
      <c r="D66" s="109">
        <f>+'시산표(현금유출입)'!F66</f>
        <v>294634789</v>
      </c>
      <c r="E66" s="111">
        <f t="shared" si="1"/>
        <v>294634789</v>
      </c>
      <c r="F66" s="115">
        <f>+부속bs!G16</f>
        <v>8267805</v>
      </c>
      <c r="G66" s="115"/>
      <c r="I66" s="115"/>
    </row>
    <row r="67" spans="1:9" s="114" customFormat="1" ht="13.5">
      <c r="A67" s="159"/>
      <c r="B67" s="109"/>
      <c r="C67" s="110" t="s">
        <v>49</v>
      </c>
      <c r="D67" s="109">
        <v>0</v>
      </c>
      <c r="E67" s="111">
        <f t="shared" si="1"/>
        <v>0</v>
      </c>
      <c r="F67" s="115"/>
      <c r="G67" s="115"/>
      <c r="I67" s="115"/>
    </row>
    <row r="68" spans="1:9" s="114" customFormat="1" ht="13.5">
      <c r="A68" s="159"/>
      <c r="B68" s="109">
        <f>+'시산표(현금유출입)'!D67</f>
        <v>0</v>
      </c>
      <c r="C68" s="110" t="s">
        <v>774</v>
      </c>
      <c r="D68" s="109">
        <f>+'시산표(현금유출입)'!F68</f>
        <v>0</v>
      </c>
      <c r="E68" s="111">
        <f t="shared" si="1"/>
        <v>0</v>
      </c>
      <c r="G68" s="115"/>
      <c r="I68" s="115"/>
    </row>
    <row r="69" spans="1:9" s="114" customFormat="1" ht="13.5">
      <c r="A69" s="159"/>
      <c r="B69" s="109">
        <f>+'시산표(현금유출입)'!D69</f>
        <v>0</v>
      </c>
      <c r="C69" s="110" t="s">
        <v>50</v>
      </c>
      <c r="D69" s="109">
        <f>+'시산표(현금유출입)'!F69</f>
        <v>0</v>
      </c>
      <c r="E69" s="111">
        <f t="shared" si="1"/>
        <v>0</v>
      </c>
      <c r="G69" s="115"/>
      <c r="I69" s="115"/>
    </row>
    <row r="70" spans="1:9" s="114" customFormat="1" ht="13.5">
      <c r="A70" s="159"/>
      <c r="B70" s="109">
        <f>+'시산표(현금유출입)'!D70</f>
        <v>0</v>
      </c>
      <c r="C70" s="110" t="s">
        <v>51</v>
      </c>
      <c r="D70" s="109">
        <f>+'시산표(현금유출입)'!F70</f>
        <v>0</v>
      </c>
      <c r="E70" s="111">
        <f t="shared" si="1"/>
        <v>0</v>
      </c>
      <c r="G70" s="115"/>
      <c r="I70" s="115"/>
    </row>
    <row r="71" spans="1:9" s="114" customFormat="1" ht="13.5">
      <c r="A71" s="159"/>
      <c r="B71" s="109">
        <f>+'시산표(현금유출입)'!D71</f>
        <v>0</v>
      </c>
      <c r="C71" s="110" t="s">
        <v>52</v>
      </c>
      <c r="D71" s="109">
        <f>+'시산표(현금유출입)'!F71</f>
        <v>0</v>
      </c>
      <c r="E71" s="111">
        <f t="shared" si="1"/>
        <v>0</v>
      </c>
      <c r="G71" s="115"/>
      <c r="I71" s="115"/>
    </row>
    <row r="72" spans="1:9" s="114" customFormat="1" ht="13.5">
      <c r="A72" s="159"/>
      <c r="B72" s="109">
        <f>+'시산표(현금유출입)'!D72</f>
        <v>0</v>
      </c>
      <c r="C72" s="110" t="s">
        <v>53</v>
      </c>
      <c r="D72" s="109">
        <f>+'시산표(현금유출입)'!F72</f>
        <v>0</v>
      </c>
      <c r="E72" s="111">
        <f t="shared" si="1"/>
        <v>0</v>
      </c>
      <c r="G72" s="115"/>
      <c r="I72" s="115"/>
    </row>
    <row r="73" spans="1:9" s="114" customFormat="1" ht="13.5">
      <c r="A73" s="159"/>
      <c r="B73" s="109">
        <f>+'시산표(현금유출입)'!D73</f>
        <v>0</v>
      </c>
      <c r="C73" s="110" t="s">
        <v>54</v>
      </c>
      <c r="D73" s="109">
        <f>+'시산표(현금유출입)'!F73</f>
        <v>0</v>
      </c>
      <c r="E73" s="111">
        <f t="shared" si="1"/>
        <v>0</v>
      </c>
      <c r="G73" s="115"/>
      <c r="I73" s="115"/>
    </row>
    <row r="74" spans="1:9" s="114" customFormat="1" ht="13.5">
      <c r="A74" s="159"/>
      <c r="B74" s="109">
        <f>+'시산표(현금유출입)'!D74</f>
        <v>281601877</v>
      </c>
      <c r="C74" s="110" t="s">
        <v>677</v>
      </c>
      <c r="D74" s="109">
        <f>+'시산표(현금유출입)'!F74</f>
        <v>145582807034</v>
      </c>
      <c r="E74" s="111">
        <f t="shared" si="1"/>
        <v>145301205157</v>
      </c>
      <c r="G74" s="115"/>
      <c r="I74" s="115"/>
    </row>
    <row r="75" spans="1:9" s="114" customFormat="1" ht="13.5">
      <c r="A75" s="159"/>
      <c r="B75" s="109">
        <f>+'시산표(현금유출입)'!D75</f>
        <v>617555580</v>
      </c>
      <c r="C75" s="110" t="s">
        <v>55</v>
      </c>
      <c r="D75" s="109">
        <f>+'시산표(현금유출입)'!F75</f>
        <v>961277729</v>
      </c>
      <c r="E75" s="111">
        <f t="shared" si="1"/>
        <v>343722149</v>
      </c>
      <c r="G75" s="115"/>
      <c r="I75" s="115"/>
    </row>
    <row r="76" spans="1:9" s="114" customFormat="1" ht="13.5">
      <c r="A76" s="159"/>
      <c r="B76" s="109">
        <f>+'시산표(현금유출입)'!D76</f>
        <v>0</v>
      </c>
      <c r="C76" s="110" t="s">
        <v>678</v>
      </c>
      <c r="D76" s="109">
        <f>+'시산표(현금유출입)'!F76</f>
        <v>24042651</v>
      </c>
      <c r="E76" s="111">
        <f t="shared" si="1"/>
        <v>24042651</v>
      </c>
      <c r="F76" s="115"/>
      <c r="G76" s="115"/>
      <c r="I76" s="115"/>
    </row>
    <row r="77" spans="1:9" s="114" customFormat="1" ht="13.5">
      <c r="A77" s="159"/>
      <c r="B77" s="109">
        <f>+'시산표(현금유출입)'!D77</f>
        <v>2239663279</v>
      </c>
      <c r="C77" s="110" t="s">
        <v>679</v>
      </c>
      <c r="D77" s="109">
        <f>+'시산표(현금유출입)'!F77</f>
        <v>74256963258</v>
      </c>
      <c r="E77" s="111">
        <f t="shared" si="1"/>
        <v>72017299979</v>
      </c>
      <c r="F77" s="115"/>
      <c r="G77" s="115"/>
      <c r="I77" s="115"/>
    </row>
    <row r="78" spans="1:9" s="114" customFormat="1" ht="13.5">
      <c r="A78" s="159"/>
      <c r="B78" s="109">
        <f>+'시산표(현금유출입)'!D78</f>
        <v>25566371491</v>
      </c>
      <c r="C78" s="110" t="s">
        <v>56</v>
      </c>
      <c r="D78" s="109">
        <f>+'시산표(현금유출입)'!F78</f>
        <v>318851904580</v>
      </c>
      <c r="E78" s="111">
        <f t="shared" si="1"/>
        <v>293285533089</v>
      </c>
      <c r="G78" s="115"/>
      <c r="I78" s="115"/>
    </row>
    <row r="79" spans="1:9" s="114" customFormat="1" ht="13.5">
      <c r="A79" s="159"/>
      <c r="B79" s="109">
        <f>+'시산표(현금유출입)'!D79</f>
        <v>0</v>
      </c>
      <c r="C79" s="110" t="s">
        <v>57</v>
      </c>
      <c r="D79" s="109">
        <f>+'시산표(현금유출입)'!F79</f>
        <v>0</v>
      </c>
      <c r="E79" s="111">
        <f t="shared" si="1"/>
        <v>0</v>
      </c>
      <c r="G79" s="115"/>
      <c r="I79" s="115"/>
    </row>
    <row r="80" spans="1:9" s="114" customFormat="1" ht="13.5">
      <c r="A80" s="159"/>
      <c r="B80" s="109">
        <f>+'시산표(현금유출입)'!D80</f>
        <v>58425639289</v>
      </c>
      <c r="C80" s="110" t="s">
        <v>58</v>
      </c>
      <c r="D80" s="109">
        <f>+'시산표(현금유출입)'!F80</f>
        <v>31953452995</v>
      </c>
      <c r="E80" s="111">
        <f t="shared" si="1"/>
        <v>-26472186294</v>
      </c>
      <c r="G80" s="115"/>
      <c r="I80" s="115"/>
    </row>
    <row r="81" spans="1:9" s="114" customFormat="1" ht="13.5">
      <c r="A81" s="159"/>
      <c r="B81" s="109">
        <f>+'시산표(현금유출입)'!D81</f>
        <v>0</v>
      </c>
      <c r="C81" s="110" t="s">
        <v>775</v>
      </c>
      <c r="D81" s="109">
        <f>+'시산표(현금유출입)'!F81</f>
        <v>0</v>
      </c>
      <c r="E81" s="111">
        <f t="shared" si="1"/>
        <v>0</v>
      </c>
      <c r="G81" s="115"/>
      <c r="I81" s="115"/>
    </row>
    <row r="82" spans="1:9" s="114" customFormat="1" ht="13.5">
      <c r="A82" s="159"/>
      <c r="B82" s="109">
        <f>+'시산표(현금유출입)'!D82</f>
        <v>0</v>
      </c>
      <c r="C82" s="110" t="s">
        <v>59</v>
      </c>
      <c r="D82" s="109">
        <f>+'시산표(현금유출입)'!F82</f>
        <v>0</v>
      </c>
      <c r="E82" s="111">
        <f t="shared" si="1"/>
        <v>0</v>
      </c>
      <c r="G82" s="115"/>
      <c r="I82" s="115"/>
    </row>
    <row r="83" spans="1:9" s="114" customFormat="1" ht="13.5">
      <c r="A83" s="159"/>
      <c r="B83" s="109">
        <f>+'시산표(현금유출입)'!D83</f>
        <v>0</v>
      </c>
      <c r="C83" s="110" t="s">
        <v>60</v>
      </c>
      <c r="D83" s="109">
        <f>+'시산표(현금유출입)'!F83</f>
        <v>0</v>
      </c>
      <c r="E83" s="111">
        <f t="shared" si="1"/>
        <v>0</v>
      </c>
      <c r="G83" s="115"/>
      <c r="I83" s="115"/>
    </row>
    <row r="84" spans="1:9" s="114" customFormat="1" ht="13.5">
      <c r="A84" s="159"/>
      <c r="B84" s="109">
        <f>+'시산표(현금유출입)'!D84</f>
        <v>0</v>
      </c>
      <c r="C84" s="110" t="s">
        <v>61</v>
      </c>
      <c r="D84" s="109">
        <f>+'시산표(현금유출입)'!F84</f>
        <v>-15117749254</v>
      </c>
      <c r="E84" s="111">
        <f t="shared" si="1"/>
        <v>-15117749254</v>
      </c>
      <c r="G84" s="115"/>
      <c r="I84" s="115"/>
    </row>
    <row r="85" spans="1:9" s="114" customFormat="1" ht="13.5">
      <c r="A85" s="159">
        <f>B85</f>
        <v>0</v>
      </c>
      <c r="B85" s="109">
        <f>+'시산표(현금유출입)'!D85</f>
        <v>0</v>
      </c>
      <c r="C85" s="110" t="s">
        <v>62</v>
      </c>
      <c r="D85" s="109">
        <f>+'시산표(현금유출입)'!F85</f>
        <v>126722562939</v>
      </c>
      <c r="E85" s="111">
        <f t="shared" si="1"/>
        <v>126722562939</v>
      </c>
      <c r="F85" s="115"/>
      <c r="G85" s="115"/>
      <c r="I85" s="115"/>
    </row>
    <row r="86" spans="1:9" s="114" customFormat="1" ht="13.5">
      <c r="A86" s="159">
        <f>B86</f>
        <v>0</v>
      </c>
      <c r="B86" s="109">
        <f>+'시산표(현금유출입)'!D86</f>
        <v>0</v>
      </c>
      <c r="C86" s="110" t="s">
        <v>63</v>
      </c>
      <c r="D86" s="109">
        <f>+'시산표(현금유출입)'!F86</f>
        <v>63941615338</v>
      </c>
      <c r="E86" s="111">
        <f t="shared" si="1"/>
        <v>63941615338</v>
      </c>
      <c r="F86" s="115"/>
      <c r="G86" s="115"/>
      <c r="I86" s="115"/>
    </row>
    <row r="87" spans="1:9" s="114" customFormat="1" ht="13.5">
      <c r="A87" s="159">
        <f>B87</f>
        <v>0</v>
      </c>
      <c r="B87" s="109">
        <f>+'시산표(현금유출입)'!D87</f>
        <v>0</v>
      </c>
      <c r="C87" s="110" t="s">
        <v>64</v>
      </c>
      <c r="D87" s="109">
        <f>+'시산표(현금유출입)'!F87</f>
        <v>10465730556</v>
      </c>
      <c r="E87" s="111">
        <f t="shared" si="1"/>
        <v>10465730556</v>
      </c>
      <c r="G87" s="115"/>
      <c r="I87" s="115"/>
    </row>
    <row r="88" spans="1:9" s="114" customFormat="1" ht="13.5">
      <c r="A88" s="159">
        <f>B88</f>
        <v>0</v>
      </c>
      <c r="B88" s="109">
        <f>+'시산표(현금유출입)'!D88</f>
        <v>0</v>
      </c>
      <c r="C88" s="110" t="s">
        <v>65</v>
      </c>
      <c r="D88" s="109">
        <f>+'시산표(현금유출입)'!F88</f>
        <v>0</v>
      </c>
      <c r="E88" s="111">
        <f>D88-B88</f>
        <v>0</v>
      </c>
      <c r="G88" s="115"/>
      <c r="I88" s="115"/>
    </row>
    <row r="89" spans="1:9" s="114" customFormat="1" ht="13.5">
      <c r="A89" s="159"/>
      <c r="B89" s="109">
        <f>+'시산표(현금유출입)'!D89</f>
        <v>0</v>
      </c>
      <c r="C89" s="110" t="s">
        <v>680</v>
      </c>
      <c r="D89" s="109">
        <f>+'시산표(현금유출입)'!F89</f>
        <v>0</v>
      </c>
      <c r="E89" s="111"/>
      <c r="G89" s="115"/>
      <c r="I89" s="115"/>
    </row>
    <row r="90" spans="1:9" s="114" customFormat="1" ht="13.5">
      <c r="A90" s="159"/>
      <c r="B90" s="109">
        <f>+'시산표(현금유출입)'!D90</f>
        <v>0</v>
      </c>
      <c r="C90" s="110" t="s">
        <v>681</v>
      </c>
      <c r="D90" s="109">
        <f>+'시산표(현금유출입)'!F90</f>
        <v>0</v>
      </c>
      <c r="E90" s="111"/>
      <c r="G90" s="115"/>
      <c r="I90" s="115"/>
    </row>
    <row r="91" spans="1:9" s="114" customFormat="1" ht="13.5">
      <c r="A91" s="159"/>
      <c r="B91" s="109">
        <f>+'시산표(현금유출입)'!D91</f>
        <v>0</v>
      </c>
      <c r="C91" s="110" t="s">
        <v>682</v>
      </c>
      <c r="D91" s="109">
        <f>+'시산표(현금유출입)'!F91</f>
        <v>0</v>
      </c>
      <c r="E91" s="111"/>
      <c r="F91" s="158"/>
      <c r="G91" s="115"/>
      <c r="I91" s="115"/>
    </row>
    <row r="92" spans="1:9" s="114" customFormat="1" ht="14.25">
      <c r="A92" s="159">
        <f>B92-D92</f>
        <v>1799727652</v>
      </c>
      <c r="B92" s="109">
        <f>+'시산표(현금유출입)'!D92</f>
        <v>1799727652</v>
      </c>
      <c r="C92" s="110" t="s">
        <v>66</v>
      </c>
      <c r="D92" s="109">
        <f>+'시산표(현금유출입)'!F92</f>
        <v>0</v>
      </c>
      <c r="E92" s="111"/>
      <c r="G92" s="162"/>
      <c r="I92" s="115"/>
    </row>
    <row r="93" spans="1:9" s="114" customFormat="1" ht="13.5">
      <c r="A93" s="159">
        <f aca="true" t="shared" si="2" ref="A93:A147">B93-D93</f>
        <v>29350591329</v>
      </c>
      <c r="B93" s="109">
        <f>+'시산표(현금유출입)'!D93</f>
        <v>29350591329</v>
      </c>
      <c r="C93" s="110" t="s">
        <v>67</v>
      </c>
      <c r="D93" s="109">
        <f>+'시산표(현금유출입)'!F93</f>
        <v>0</v>
      </c>
      <c r="E93" s="111"/>
      <c r="G93" s="115"/>
      <c r="I93" s="115"/>
    </row>
    <row r="94" spans="1:9" s="114" customFormat="1" ht="13.5">
      <c r="A94" s="159">
        <f t="shared" si="2"/>
        <v>19070038906</v>
      </c>
      <c r="B94" s="109">
        <f>+'시산표(현금유출입)'!D94</f>
        <v>19070038906</v>
      </c>
      <c r="C94" s="110" t="s">
        <v>68</v>
      </c>
      <c r="D94" s="109">
        <f>+'시산표(현금유출입)'!F94</f>
        <v>0</v>
      </c>
      <c r="E94" s="111"/>
      <c r="G94" s="115"/>
      <c r="I94" s="115"/>
    </row>
    <row r="95" spans="1:9" s="114" customFormat="1" ht="13.5">
      <c r="A95" s="159">
        <f t="shared" si="2"/>
        <v>9416268011</v>
      </c>
      <c r="B95" s="109">
        <f>+'시산표(현금유출입)'!D95</f>
        <v>9416268011</v>
      </c>
      <c r="C95" s="110" t="s">
        <v>69</v>
      </c>
      <c r="D95" s="109">
        <f>+'시산표(현금유출입)'!F95</f>
        <v>0</v>
      </c>
      <c r="E95" s="111"/>
      <c r="G95" s="115"/>
      <c r="I95" s="115"/>
    </row>
    <row r="96" spans="1:9" s="114" customFormat="1" ht="13.5">
      <c r="A96" s="159">
        <f t="shared" si="2"/>
        <v>1228078527</v>
      </c>
      <c r="B96" s="109">
        <f>+'시산표(현금유출입)'!D96</f>
        <v>1228078527</v>
      </c>
      <c r="C96" s="110" t="s">
        <v>683</v>
      </c>
      <c r="D96" s="109">
        <f>+'시산표(현금유출입)'!F96</f>
        <v>0</v>
      </c>
      <c r="E96" s="111"/>
      <c r="G96" s="115"/>
      <c r="I96" s="115"/>
    </row>
    <row r="97" spans="1:9" s="114" customFormat="1" ht="13.5">
      <c r="A97" s="159">
        <f t="shared" si="2"/>
        <v>0</v>
      </c>
      <c r="B97" s="109">
        <f>+'시산표(현금유출입)'!D97</f>
        <v>0</v>
      </c>
      <c r="C97" s="110" t="s">
        <v>684</v>
      </c>
      <c r="D97" s="109">
        <f>+'시산표(현금유출입)'!F97</f>
        <v>0</v>
      </c>
      <c r="E97" s="111"/>
      <c r="G97" s="115"/>
      <c r="I97" s="115"/>
    </row>
    <row r="98" spans="1:9" s="114" customFormat="1" ht="13.5">
      <c r="A98" s="159">
        <f t="shared" si="2"/>
        <v>58554986425</v>
      </c>
      <c r="B98" s="109">
        <f>+'시산표(현금유출입)'!D98</f>
        <v>58554986425</v>
      </c>
      <c r="C98" s="110" t="s">
        <v>70</v>
      </c>
      <c r="D98" s="109">
        <f>+'시산표(현금유출입)'!F98</f>
        <v>0</v>
      </c>
      <c r="E98" s="111"/>
      <c r="G98" s="115"/>
      <c r="I98" s="115"/>
    </row>
    <row r="99" spans="1:9" s="114" customFormat="1" ht="13.5">
      <c r="A99" s="159">
        <f t="shared" si="2"/>
        <v>0</v>
      </c>
      <c r="B99" s="109">
        <f>+'시산표(현금유출입)'!D99</f>
        <v>0</v>
      </c>
      <c r="C99" s="110" t="s">
        <v>818</v>
      </c>
      <c r="D99" s="109"/>
      <c r="E99" s="111"/>
      <c r="G99" s="115"/>
      <c r="I99" s="115"/>
    </row>
    <row r="100" spans="1:9" s="114" customFormat="1" ht="13.5">
      <c r="A100" s="159">
        <f t="shared" si="2"/>
        <v>0</v>
      </c>
      <c r="B100" s="109">
        <f>+'시산표(현금유출입)'!D100</f>
        <v>0</v>
      </c>
      <c r="C100" s="110" t="s">
        <v>71</v>
      </c>
      <c r="D100" s="109">
        <f>+'시산표(현금유출입)'!F100</f>
        <v>0</v>
      </c>
      <c r="E100" s="111"/>
      <c r="G100" s="115"/>
      <c r="I100" s="115"/>
    </row>
    <row r="101" spans="1:9" s="114" customFormat="1" ht="13.5">
      <c r="A101" s="159">
        <f t="shared" si="2"/>
        <v>0</v>
      </c>
      <c r="B101" s="109">
        <f>+'시산표(현금유출입)'!D101</f>
        <v>0</v>
      </c>
      <c r="C101" s="110" t="s">
        <v>685</v>
      </c>
      <c r="D101" s="109">
        <f>+'시산표(현금유출입)'!F101</f>
        <v>0</v>
      </c>
      <c r="E101" s="111"/>
      <c r="G101" s="115"/>
      <c r="I101" s="115"/>
    </row>
    <row r="102" spans="1:9" s="114" customFormat="1" ht="13.5">
      <c r="A102" s="159">
        <f t="shared" si="2"/>
        <v>0</v>
      </c>
      <c r="B102" s="109">
        <f>+'시산표(현금유출입)'!D102</f>
        <v>0</v>
      </c>
      <c r="C102" s="110" t="s">
        <v>72</v>
      </c>
      <c r="D102" s="109">
        <f>+'시산표(현금유출입)'!F102</f>
        <v>0</v>
      </c>
      <c r="E102" s="111"/>
      <c r="G102" s="115"/>
      <c r="I102" s="115"/>
    </row>
    <row r="103" spans="1:9" s="114" customFormat="1" ht="13.5">
      <c r="A103" s="159">
        <f t="shared" si="2"/>
        <v>0</v>
      </c>
      <c r="B103" s="109">
        <f>+'시산표(현금유출입)'!D103</f>
        <v>0</v>
      </c>
      <c r="C103" s="110" t="s">
        <v>73</v>
      </c>
      <c r="D103" s="109">
        <f>+'시산표(현금유출입)'!F103</f>
        <v>0</v>
      </c>
      <c r="E103" s="111"/>
      <c r="G103" s="115"/>
      <c r="I103" s="115"/>
    </row>
    <row r="104" spans="1:9" s="114" customFormat="1" ht="13.5">
      <c r="A104" s="159">
        <f t="shared" si="2"/>
        <v>5036738844</v>
      </c>
      <c r="B104" s="109">
        <f>+'시산표(현금유출입)'!D104</f>
        <v>5036738844</v>
      </c>
      <c r="C104" s="110" t="s">
        <v>74</v>
      </c>
      <c r="D104" s="109">
        <f>+'시산표(현금유출입)'!F104</f>
        <v>0</v>
      </c>
      <c r="E104" s="111"/>
      <c r="G104" s="115"/>
      <c r="I104" s="115"/>
    </row>
    <row r="105" spans="1:9" s="114" customFormat="1" ht="13.5">
      <c r="A105" s="159">
        <f t="shared" si="2"/>
        <v>351358431</v>
      </c>
      <c r="B105" s="109">
        <f>+'시산표(현금유출입)'!D105</f>
        <v>351358431</v>
      </c>
      <c r="C105" s="110" t="s">
        <v>75</v>
      </c>
      <c r="D105" s="109">
        <f>+'시산표(현금유출입)'!F105</f>
        <v>0</v>
      </c>
      <c r="E105" s="111"/>
      <c r="G105" s="115"/>
      <c r="I105" s="115"/>
    </row>
    <row r="106" spans="1:9" s="114" customFormat="1" ht="13.5">
      <c r="A106" s="159">
        <f t="shared" si="2"/>
        <v>32322534</v>
      </c>
      <c r="B106" s="109">
        <f>+'시산표(현금유출입)'!D106</f>
        <v>32322534</v>
      </c>
      <c r="C106" s="110" t="s">
        <v>76</v>
      </c>
      <c r="D106" s="109">
        <f>+'시산표(현금유출입)'!F106</f>
        <v>0</v>
      </c>
      <c r="E106" s="111"/>
      <c r="G106" s="115"/>
      <c r="I106" s="115"/>
    </row>
    <row r="107" spans="1:9" s="114" customFormat="1" ht="13.5">
      <c r="A107" s="159">
        <f t="shared" si="2"/>
        <v>3141819139</v>
      </c>
      <c r="B107" s="109">
        <f>+'시산표(현금유출입)'!D107</f>
        <v>3141819139</v>
      </c>
      <c r="C107" s="110" t="s">
        <v>77</v>
      </c>
      <c r="D107" s="109">
        <f>+'시산표(현금유출입)'!F107</f>
        <v>0</v>
      </c>
      <c r="E107" s="111"/>
      <c r="G107" s="115"/>
      <c r="I107" s="115"/>
    </row>
    <row r="108" spans="1:9" s="114" customFormat="1" ht="13.5">
      <c r="A108" s="159">
        <f t="shared" si="2"/>
        <v>0</v>
      </c>
      <c r="B108" s="109">
        <f>+'시산표(현금유출입)'!D108</f>
        <v>0</v>
      </c>
      <c r="C108" s="110" t="s">
        <v>78</v>
      </c>
      <c r="D108" s="109">
        <f>+'시산표(현금유출입)'!F108</f>
        <v>0</v>
      </c>
      <c r="E108" s="111"/>
      <c r="G108" s="115"/>
      <c r="I108" s="115"/>
    </row>
    <row r="109" spans="1:9" s="114" customFormat="1" ht="13.5">
      <c r="A109" s="159">
        <f t="shared" si="2"/>
        <v>254653317</v>
      </c>
      <c r="B109" s="109">
        <f>+'시산표(현금유출입)'!D109</f>
        <v>254653317</v>
      </c>
      <c r="C109" s="110" t="s">
        <v>79</v>
      </c>
      <c r="D109" s="109">
        <f>+'시산표(현금유출입)'!F109</f>
        <v>0</v>
      </c>
      <c r="E109" s="111"/>
      <c r="G109" s="115"/>
      <c r="I109" s="115"/>
    </row>
    <row r="110" spans="1:9" s="114" customFormat="1" ht="13.5">
      <c r="A110" s="159">
        <f t="shared" si="2"/>
        <v>0</v>
      </c>
      <c r="B110" s="109">
        <f>+'시산표(현금유출입)'!D110</f>
        <v>0</v>
      </c>
      <c r="C110" s="110" t="s">
        <v>80</v>
      </c>
      <c r="D110" s="109">
        <f>+'시산표(현금유출입)'!F110</f>
        <v>0</v>
      </c>
      <c r="E110" s="111"/>
      <c r="G110" s="115"/>
      <c r="I110" s="115"/>
    </row>
    <row r="111" spans="1:9" s="114" customFormat="1" ht="13.5">
      <c r="A111" s="159">
        <f t="shared" si="2"/>
        <v>200921564</v>
      </c>
      <c r="B111" s="109">
        <f>+'시산표(현금유출입)'!D111</f>
        <v>200921564</v>
      </c>
      <c r="C111" s="110" t="s">
        <v>81</v>
      </c>
      <c r="D111" s="109">
        <f>+'시산표(현금유출입)'!F111</f>
        <v>0</v>
      </c>
      <c r="E111" s="111"/>
      <c r="G111" s="115"/>
      <c r="I111" s="115"/>
    </row>
    <row r="112" spans="1:9" s="114" customFormat="1" ht="13.5">
      <c r="A112" s="159">
        <f t="shared" si="2"/>
        <v>8772644042</v>
      </c>
      <c r="B112" s="109">
        <f>+'시산표(현금유출입)'!D112</f>
        <v>9380230207</v>
      </c>
      <c r="C112" s="110" t="s">
        <v>82</v>
      </c>
      <c r="D112" s="109">
        <f>+'시산표(현금유출입)'!F112</f>
        <v>607586165</v>
      </c>
      <c r="E112" s="111"/>
      <c r="G112" s="115"/>
      <c r="I112" s="115"/>
    </row>
    <row r="113" spans="1:9" s="114" customFormat="1" ht="13.5">
      <c r="A113" s="159">
        <f t="shared" si="2"/>
        <v>0</v>
      </c>
      <c r="B113" s="109">
        <f>+'시산표(현금유출입)'!D113</f>
        <v>0</v>
      </c>
      <c r="C113" s="110" t="s">
        <v>83</v>
      </c>
      <c r="D113" s="109">
        <f>+'시산표(현금유출입)'!F113</f>
        <v>0</v>
      </c>
      <c r="E113" s="111"/>
      <c r="G113" s="115"/>
      <c r="I113" s="115"/>
    </row>
    <row r="114" spans="1:9" s="114" customFormat="1" ht="13.5">
      <c r="A114" s="159">
        <f t="shared" si="2"/>
        <v>1347231572</v>
      </c>
      <c r="B114" s="109">
        <f>+'시산표(현금유출입)'!D114</f>
        <v>1347231572</v>
      </c>
      <c r="C114" s="110" t="s">
        <v>84</v>
      </c>
      <c r="D114" s="109">
        <f>+'시산표(현금유출입)'!F114</f>
        <v>0</v>
      </c>
      <c r="E114" s="111"/>
      <c r="G114" s="115"/>
      <c r="I114" s="115"/>
    </row>
    <row r="115" spans="1:9" s="114" customFormat="1" ht="13.5">
      <c r="A115" s="159">
        <f t="shared" si="2"/>
        <v>8656295315</v>
      </c>
      <c r="B115" s="109">
        <f>+'시산표(현금유출입)'!D115</f>
        <v>8656295315</v>
      </c>
      <c r="C115" s="110" t="s">
        <v>85</v>
      </c>
      <c r="D115" s="109">
        <f>+'시산표(현금유출입)'!F115</f>
        <v>0</v>
      </c>
      <c r="E115" s="111"/>
      <c r="G115" s="115"/>
      <c r="I115" s="115"/>
    </row>
    <row r="116" spans="1:9" s="114" customFormat="1" ht="13.5">
      <c r="A116" s="159">
        <f t="shared" si="2"/>
        <v>3102411920</v>
      </c>
      <c r="B116" s="109">
        <f>+'시산표(현금유출입)'!D116</f>
        <v>3102411920</v>
      </c>
      <c r="C116" s="110" t="s">
        <v>86</v>
      </c>
      <c r="D116" s="109">
        <f>+'시산표(현금유출입)'!F116</f>
        <v>0</v>
      </c>
      <c r="E116" s="111"/>
      <c r="G116" s="115"/>
      <c r="I116" s="115"/>
    </row>
    <row r="117" spans="1:9" s="114" customFormat="1" ht="13.5">
      <c r="A117" s="159">
        <f t="shared" si="2"/>
        <v>0</v>
      </c>
      <c r="B117" s="109">
        <f>+'시산표(현금유출입)'!D117</f>
        <v>0</v>
      </c>
      <c r="C117" s="110" t="s">
        <v>87</v>
      </c>
      <c r="D117" s="109">
        <f>+'시산표(현금유출입)'!F117</f>
        <v>0</v>
      </c>
      <c r="E117" s="111"/>
      <c r="G117" s="115"/>
      <c r="I117" s="115"/>
    </row>
    <row r="118" spans="1:9" s="114" customFormat="1" ht="13.5">
      <c r="A118" s="159">
        <f t="shared" si="2"/>
        <v>80746159</v>
      </c>
      <c r="B118" s="109">
        <f>+'시산표(현금유출입)'!D118</f>
        <v>80746159</v>
      </c>
      <c r="C118" s="110" t="s">
        <v>88</v>
      </c>
      <c r="D118" s="109">
        <f>+'시산표(현금유출입)'!F118</f>
        <v>0</v>
      </c>
      <c r="E118" s="111"/>
      <c r="G118" s="115"/>
      <c r="I118" s="115"/>
    </row>
    <row r="119" spans="1:9" s="114" customFormat="1" ht="13.5">
      <c r="A119" s="159">
        <f t="shared" si="2"/>
        <v>968504810</v>
      </c>
      <c r="B119" s="109">
        <f>+'시산표(현금유출입)'!D119</f>
        <v>968504810</v>
      </c>
      <c r="C119" s="110" t="s">
        <v>776</v>
      </c>
      <c r="D119" s="109">
        <f>+'시산표(현금유출입)'!F119</f>
        <v>0</v>
      </c>
      <c r="E119" s="111"/>
      <c r="G119" s="115"/>
      <c r="I119" s="115"/>
    </row>
    <row r="120" spans="1:9" s="114" customFormat="1" ht="13.5">
      <c r="A120" s="159">
        <f t="shared" si="2"/>
        <v>4099651600</v>
      </c>
      <c r="B120" s="109">
        <f>+'시산표(현금유출입)'!D120</f>
        <v>4099651600</v>
      </c>
      <c r="C120" s="110" t="s">
        <v>70</v>
      </c>
      <c r="D120" s="109">
        <f>+'시산표(현금유출입)'!F120</f>
        <v>0</v>
      </c>
      <c r="E120" s="111"/>
      <c r="G120" s="115"/>
      <c r="I120" s="115"/>
    </row>
    <row r="121" spans="1:9" s="114" customFormat="1" ht="14.25" thickBot="1">
      <c r="A121" s="163">
        <f t="shared" si="2"/>
        <v>132150</v>
      </c>
      <c r="B121" s="167">
        <f>+'시산표(현금유출입)'!D121</f>
        <v>132150</v>
      </c>
      <c r="C121" s="168" t="s">
        <v>71</v>
      </c>
      <c r="D121" s="169">
        <f>+'시산표(현금유출입)'!F121</f>
        <v>0</v>
      </c>
      <c r="E121" s="166"/>
      <c r="G121" s="115"/>
      <c r="I121" s="115"/>
    </row>
    <row r="122" spans="1:9" s="114" customFormat="1" ht="13.5">
      <c r="A122" s="170">
        <f t="shared" si="2"/>
        <v>475024507</v>
      </c>
      <c r="B122" s="109">
        <f>+'시산표(현금유출입)'!D122</f>
        <v>475024507</v>
      </c>
      <c r="C122" s="110" t="s">
        <v>685</v>
      </c>
      <c r="D122" s="109">
        <f>+'시산표(현금유출입)'!F122</f>
        <v>0</v>
      </c>
      <c r="E122" s="171"/>
      <c r="G122" s="115"/>
      <c r="I122" s="115"/>
    </row>
    <row r="123" spans="1:9" s="114" customFormat="1" ht="13.5">
      <c r="A123" s="159">
        <f t="shared" si="2"/>
        <v>366493</v>
      </c>
      <c r="B123" s="109">
        <f>+'시산표(현금유출입)'!D123</f>
        <v>366493</v>
      </c>
      <c r="C123" s="110" t="s">
        <v>686</v>
      </c>
      <c r="D123" s="109">
        <f>+'시산표(현금유출입)'!F123</f>
        <v>0</v>
      </c>
      <c r="E123" s="111"/>
      <c r="G123" s="115"/>
      <c r="I123" s="115"/>
    </row>
    <row r="124" spans="1:9" s="114" customFormat="1" ht="13.5">
      <c r="A124" s="159">
        <f t="shared" si="2"/>
        <v>0</v>
      </c>
      <c r="B124" s="109">
        <f>+'시산표(현금유출입)'!D124</f>
        <v>0</v>
      </c>
      <c r="C124" s="110" t="s">
        <v>73</v>
      </c>
      <c r="D124" s="109">
        <f>+'시산표(현금유출입)'!F124</f>
        <v>0</v>
      </c>
      <c r="E124" s="111"/>
      <c r="G124" s="115"/>
      <c r="I124" s="115"/>
    </row>
    <row r="125" spans="1:9" s="114" customFormat="1" ht="13.5">
      <c r="A125" s="159">
        <f t="shared" si="2"/>
        <v>1215191786</v>
      </c>
      <c r="B125" s="109">
        <f>+'시산표(현금유출입)'!D125</f>
        <v>1215191786</v>
      </c>
      <c r="C125" s="110" t="s">
        <v>74</v>
      </c>
      <c r="D125" s="109">
        <f>+'시산표(현금유출입)'!F125</f>
        <v>0</v>
      </c>
      <c r="E125" s="111"/>
      <c r="G125" s="115"/>
      <c r="I125" s="115"/>
    </row>
    <row r="126" spans="1:9" s="114" customFormat="1" ht="13.5">
      <c r="A126" s="159">
        <f t="shared" si="2"/>
        <v>266203390</v>
      </c>
      <c r="B126" s="109">
        <f>+'시산표(현금유출입)'!D126</f>
        <v>266203390</v>
      </c>
      <c r="C126" s="110" t="s">
        <v>75</v>
      </c>
      <c r="D126" s="109">
        <f>+'시산표(현금유출입)'!F126</f>
        <v>0</v>
      </c>
      <c r="E126" s="111"/>
      <c r="G126" s="115"/>
      <c r="I126" s="115"/>
    </row>
    <row r="127" spans="1:9" s="114" customFormat="1" ht="13.5">
      <c r="A127" s="159">
        <f t="shared" si="2"/>
        <v>25746420</v>
      </c>
      <c r="B127" s="109">
        <f>+'시산표(현금유출입)'!D127</f>
        <v>25746420</v>
      </c>
      <c r="C127" s="110" t="s">
        <v>76</v>
      </c>
      <c r="D127" s="109">
        <f>+'시산표(현금유출입)'!F127</f>
        <v>0</v>
      </c>
      <c r="E127" s="111"/>
      <c r="G127" s="115"/>
      <c r="I127" s="115"/>
    </row>
    <row r="128" spans="1:9" s="114" customFormat="1" ht="13.5">
      <c r="A128" s="159">
        <f t="shared" si="2"/>
        <v>183485010</v>
      </c>
      <c r="B128" s="109">
        <f>+'시산표(현금유출입)'!D128</f>
        <v>183485010</v>
      </c>
      <c r="C128" s="110" t="s">
        <v>90</v>
      </c>
      <c r="D128" s="109">
        <f>+'시산표(현금유출입)'!F128</f>
        <v>0</v>
      </c>
      <c r="E128" s="111"/>
      <c r="G128" s="115"/>
      <c r="I128" s="115"/>
    </row>
    <row r="129" spans="1:9" s="114" customFormat="1" ht="13.5">
      <c r="A129" s="159">
        <f t="shared" si="2"/>
        <v>0</v>
      </c>
      <c r="B129" s="109">
        <f>+'시산표(현금유출입)'!D129</f>
        <v>0</v>
      </c>
      <c r="C129" s="110" t="s">
        <v>687</v>
      </c>
      <c r="D129" s="109">
        <f>+'시산표(현금유출입)'!F129</f>
        <v>0</v>
      </c>
      <c r="E129" s="111"/>
      <c r="G129" s="115"/>
      <c r="I129" s="115"/>
    </row>
    <row r="130" spans="1:9" s="114" customFormat="1" ht="13.5">
      <c r="A130" s="159">
        <f t="shared" si="2"/>
        <v>1388886076</v>
      </c>
      <c r="B130" s="109">
        <f>+'시산표(현금유출입)'!D130</f>
        <v>1388886076</v>
      </c>
      <c r="C130" s="110" t="s">
        <v>78</v>
      </c>
      <c r="D130" s="109">
        <f>+'시산표(현금유출입)'!F130</f>
        <v>0</v>
      </c>
      <c r="E130" s="111"/>
      <c r="G130" s="115"/>
      <c r="I130" s="115"/>
    </row>
    <row r="131" spans="1:9" s="114" customFormat="1" ht="13.5">
      <c r="A131" s="159">
        <f t="shared" si="2"/>
        <v>163074154</v>
      </c>
      <c r="B131" s="109">
        <f>+'시산표(현금유출입)'!D131</f>
        <v>163074154</v>
      </c>
      <c r="C131" s="110" t="s">
        <v>79</v>
      </c>
      <c r="D131" s="109">
        <f>+'시산표(현금유출입)'!F131</f>
        <v>0</v>
      </c>
      <c r="E131" s="111"/>
      <c r="G131" s="115"/>
      <c r="I131" s="115"/>
    </row>
    <row r="132" spans="1:9" s="114" customFormat="1" ht="13.5">
      <c r="A132" s="159">
        <f t="shared" si="2"/>
        <v>0</v>
      </c>
      <c r="B132" s="109">
        <f>+'시산표(현금유출입)'!D132</f>
        <v>0</v>
      </c>
      <c r="C132" s="110" t="s">
        <v>80</v>
      </c>
      <c r="D132" s="109">
        <f>+'시산표(현금유출입)'!F132</f>
        <v>0</v>
      </c>
      <c r="E132" s="111"/>
      <c r="G132" s="115"/>
      <c r="I132" s="115"/>
    </row>
    <row r="133" spans="1:9" s="114" customFormat="1" ht="13.5">
      <c r="A133" s="159">
        <f t="shared" si="2"/>
        <v>49209705</v>
      </c>
      <c r="B133" s="109">
        <f>+'시산표(현금유출입)'!D133</f>
        <v>49209705</v>
      </c>
      <c r="C133" s="110" t="s">
        <v>81</v>
      </c>
      <c r="D133" s="109">
        <f>+'시산표(현금유출입)'!F133</f>
        <v>0</v>
      </c>
      <c r="E133" s="111"/>
      <c r="G133" s="115"/>
      <c r="I133" s="115"/>
    </row>
    <row r="134" spans="1:9" s="114" customFormat="1" ht="13.5">
      <c r="A134" s="159">
        <f t="shared" si="2"/>
        <v>144823154</v>
      </c>
      <c r="B134" s="109">
        <f>+'시산표(현금유출입)'!D134</f>
        <v>144823154</v>
      </c>
      <c r="C134" s="110" t="s">
        <v>82</v>
      </c>
      <c r="D134" s="109">
        <f>+'시산표(현금유출입)'!F134</f>
        <v>0</v>
      </c>
      <c r="E134" s="111"/>
      <c r="G134" s="115"/>
      <c r="I134" s="115"/>
    </row>
    <row r="135" spans="1:9" s="114" customFormat="1" ht="13.5">
      <c r="A135" s="159">
        <f t="shared" si="2"/>
        <v>41723600</v>
      </c>
      <c r="B135" s="109">
        <f>+'시산표(현금유출입)'!D135</f>
        <v>41723600</v>
      </c>
      <c r="C135" s="110" t="s">
        <v>91</v>
      </c>
      <c r="D135" s="109">
        <f>+'시산표(현금유출입)'!F135</f>
        <v>0</v>
      </c>
      <c r="E135" s="111"/>
      <c r="G135" s="115"/>
      <c r="I135" s="115"/>
    </row>
    <row r="136" spans="1:9" s="114" customFormat="1" ht="13.5">
      <c r="A136" s="159">
        <f t="shared" si="2"/>
        <v>1355285082</v>
      </c>
      <c r="B136" s="109">
        <f>+'시산표(현금유출입)'!D136</f>
        <v>1355285082</v>
      </c>
      <c r="C136" s="110" t="s">
        <v>83</v>
      </c>
      <c r="D136" s="109">
        <f>+'시산표(현금유출입)'!F136</f>
        <v>0</v>
      </c>
      <c r="E136" s="111"/>
      <c r="G136" s="115"/>
      <c r="I136" s="115"/>
    </row>
    <row r="137" spans="1:9" s="114" customFormat="1" ht="13.5">
      <c r="A137" s="159">
        <f t="shared" si="2"/>
        <v>0</v>
      </c>
      <c r="B137" s="109">
        <f>+'시산표(현금유출입)'!D137</f>
        <v>0</v>
      </c>
      <c r="C137" s="110" t="s">
        <v>85</v>
      </c>
      <c r="D137" s="109">
        <f>+'시산표(현금유출입)'!F137</f>
        <v>0</v>
      </c>
      <c r="E137" s="111"/>
      <c r="G137" s="115"/>
      <c r="I137" s="115"/>
    </row>
    <row r="138" spans="1:9" s="114" customFormat="1" ht="13.5">
      <c r="A138" s="159">
        <f t="shared" si="2"/>
        <v>0</v>
      </c>
      <c r="B138" s="109">
        <f>+'시산표(현금유출입)'!D138</f>
        <v>0</v>
      </c>
      <c r="C138" s="110" t="s">
        <v>86</v>
      </c>
      <c r="D138" s="109">
        <f>+'시산표(현금유출입)'!F138</f>
        <v>0</v>
      </c>
      <c r="E138" s="111"/>
      <c r="G138" s="115"/>
      <c r="I138" s="115"/>
    </row>
    <row r="139" spans="1:9" s="114" customFormat="1" ht="13.5">
      <c r="A139" s="159">
        <f t="shared" si="2"/>
        <v>54728194</v>
      </c>
      <c r="B139" s="109">
        <f>+'시산표(현금유출입)'!D139</f>
        <v>54728194</v>
      </c>
      <c r="C139" s="110" t="s">
        <v>92</v>
      </c>
      <c r="D139" s="109">
        <f>+'시산표(현금유출입)'!F139</f>
        <v>0</v>
      </c>
      <c r="E139" s="111"/>
      <c r="G139" s="115"/>
      <c r="I139" s="115"/>
    </row>
    <row r="140" spans="1:9" s="114" customFormat="1" ht="13.5">
      <c r="A140" s="159">
        <f t="shared" si="2"/>
        <v>15023400</v>
      </c>
      <c r="B140" s="109">
        <f>+'시산표(현금유출입)'!D140</f>
        <v>15023400</v>
      </c>
      <c r="C140" s="110" t="s">
        <v>87</v>
      </c>
      <c r="D140" s="109">
        <f>+'시산표(현금유출입)'!F140</f>
        <v>0</v>
      </c>
      <c r="E140" s="111"/>
      <c r="G140" s="115"/>
      <c r="I140" s="115"/>
    </row>
    <row r="141" spans="1:9" s="114" customFormat="1" ht="13.5">
      <c r="A141" s="159">
        <f t="shared" si="2"/>
        <v>0</v>
      </c>
      <c r="B141" s="109">
        <f>+'시산표(현금유출입)'!D141</f>
        <v>0</v>
      </c>
      <c r="C141" s="110" t="s">
        <v>93</v>
      </c>
      <c r="D141" s="109">
        <f>+'시산표(현금유출입)'!F141</f>
        <v>0</v>
      </c>
      <c r="E141" s="111"/>
      <c r="G141" s="115"/>
      <c r="I141" s="115"/>
    </row>
    <row r="142" spans="1:9" s="114" customFormat="1" ht="13.5">
      <c r="A142" s="159">
        <f t="shared" si="2"/>
        <v>0</v>
      </c>
      <c r="B142" s="109">
        <f>+'시산표(현금유출입)'!D142</f>
        <v>0</v>
      </c>
      <c r="C142" s="110" t="s">
        <v>94</v>
      </c>
      <c r="D142" s="109">
        <f>+'시산표(현금유출입)'!F142</f>
        <v>0</v>
      </c>
      <c r="E142" s="111"/>
      <c r="G142" s="115"/>
      <c r="I142" s="115"/>
    </row>
    <row r="143" spans="1:9" s="114" customFormat="1" ht="13.5">
      <c r="A143" s="159">
        <f t="shared" si="2"/>
        <v>61491526</v>
      </c>
      <c r="B143" s="109">
        <f>+'시산표(현금유출입)'!D143</f>
        <v>61491526</v>
      </c>
      <c r="C143" s="110" t="s">
        <v>95</v>
      </c>
      <c r="D143" s="109">
        <f>+'시산표(현금유출입)'!F143</f>
        <v>0</v>
      </c>
      <c r="E143" s="111"/>
      <c r="G143" s="115"/>
      <c r="I143" s="115"/>
    </row>
    <row r="144" spans="1:9" s="114" customFormat="1" ht="13.5">
      <c r="A144" s="159">
        <f t="shared" si="2"/>
        <v>371908763</v>
      </c>
      <c r="B144" s="109">
        <f>+'시산표(현금유출입)'!D144</f>
        <v>371908763</v>
      </c>
      <c r="C144" s="110" t="s">
        <v>96</v>
      </c>
      <c r="D144" s="109">
        <f>+'시산표(현금유출입)'!F144</f>
        <v>0</v>
      </c>
      <c r="E144" s="111"/>
      <c r="G144" s="115"/>
      <c r="I144" s="115"/>
    </row>
    <row r="145" spans="1:9" s="114" customFormat="1" ht="13.5">
      <c r="A145" s="159">
        <f t="shared" si="2"/>
        <v>49716546</v>
      </c>
      <c r="B145" s="109">
        <f>+'시산표(현금유출입)'!D145</f>
        <v>49716546</v>
      </c>
      <c r="C145" s="110" t="s">
        <v>88</v>
      </c>
      <c r="D145" s="109">
        <f>+'시산표(현금유출입)'!F145</f>
        <v>0</v>
      </c>
      <c r="E145" s="111"/>
      <c r="G145" s="115"/>
      <c r="I145" s="115"/>
    </row>
    <row r="146" spans="1:9" s="114" customFormat="1" ht="13.5">
      <c r="A146" s="159">
        <f t="shared" si="2"/>
        <v>36560640</v>
      </c>
      <c r="B146" s="109">
        <f>+'시산표(현금유출입)'!D146</f>
        <v>36560640</v>
      </c>
      <c r="C146" s="110" t="s">
        <v>97</v>
      </c>
      <c r="D146" s="109">
        <f>+'시산표(현금유출입)'!F146</f>
        <v>0</v>
      </c>
      <c r="E146" s="111"/>
      <c r="G146" s="115"/>
      <c r="I146" s="115"/>
    </row>
    <row r="147" spans="1:9" s="114" customFormat="1" ht="13.5">
      <c r="A147" s="159">
        <f t="shared" si="2"/>
        <v>1238490</v>
      </c>
      <c r="B147" s="109">
        <f>+'시산표(현금유출입)'!D147</f>
        <v>1238490</v>
      </c>
      <c r="C147" s="110" t="s">
        <v>89</v>
      </c>
      <c r="D147" s="109">
        <f>+'시산표(현금유출입)'!F147</f>
        <v>0</v>
      </c>
      <c r="E147" s="111"/>
      <c r="G147" s="115"/>
      <c r="I147" s="115"/>
    </row>
    <row r="148" spans="1:9" s="114" customFormat="1" ht="13.5">
      <c r="A148" s="159"/>
      <c r="B148" s="109">
        <f>+'시산표(현금유출입)'!D148</f>
        <v>0</v>
      </c>
      <c r="C148" s="110" t="s">
        <v>98</v>
      </c>
      <c r="D148" s="109">
        <f>+'시산표(현금유출입)'!F148</f>
        <v>3028808092</v>
      </c>
      <c r="E148" s="111">
        <f>D148-B148</f>
        <v>3028808092</v>
      </c>
      <c r="G148" s="115"/>
      <c r="I148" s="115"/>
    </row>
    <row r="149" spans="1:9" s="114" customFormat="1" ht="13.5">
      <c r="A149" s="159"/>
      <c r="B149" s="109">
        <f>+'시산표(현금유출입)'!D149</f>
        <v>0</v>
      </c>
      <c r="C149" s="110" t="s">
        <v>688</v>
      </c>
      <c r="D149" s="109">
        <f>+'시산표(현금유출입)'!F149</f>
        <v>0</v>
      </c>
      <c r="E149" s="111">
        <f aca="true" t="shared" si="3" ref="E149:E159">D149-B149</f>
        <v>0</v>
      </c>
      <c r="G149" s="115"/>
      <c r="I149" s="115"/>
    </row>
    <row r="150" spans="1:9" s="114" customFormat="1" ht="13.5">
      <c r="A150" s="159"/>
      <c r="B150" s="109">
        <f>+'시산표(현금유출입)'!D150</f>
        <v>0</v>
      </c>
      <c r="C150" s="110" t="s">
        <v>99</v>
      </c>
      <c r="D150" s="109">
        <f>+'시산표(현금유출입)'!F150</f>
        <v>0</v>
      </c>
      <c r="E150" s="111">
        <f t="shared" si="3"/>
        <v>0</v>
      </c>
      <c r="G150" s="115"/>
      <c r="I150" s="115"/>
    </row>
    <row r="151" spans="1:9" s="114" customFormat="1" ht="13.5">
      <c r="A151" s="159"/>
      <c r="B151" s="109">
        <f>+'시산표(현금유출입)'!D151</f>
        <v>0</v>
      </c>
      <c r="C151" s="110" t="s">
        <v>100</v>
      </c>
      <c r="D151" s="109">
        <f>+'시산표(현금유출입)'!F151</f>
        <v>0</v>
      </c>
      <c r="E151" s="111">
        <f t="shared" si="3"/>
        <v>0</v>
      </c>
      <c r="G151" s="115"/>
      <c r="I151" s="115"/>
    </row>
    <row r="152" spans="1:9" s="114" customFormat="1" ht="13.5">
      <c r="A152" s="159"/>
      <c r="B152" s="109">
        <f>+'시산표(현금유출입)'!D152</f>
        <v>0</v>
      </c>
      <c r="C152" s="110" t="s">
        <v>101</v>
      </c>
      <c r="D152" s="109">
        <f>+'시산표(현금유출입)'!F152</f>
        <v>0</v>
      </c>
      <c r="E152" s="111">
        <f t="shared" si="3"/>
        <v>0</v>
      </c>
      <c r="G152" s="115"/>
      <c r="I152" s="115"/>
    </row>
    <row r="153" spans="1:9" s="114" customFormat="1" ht="13.5">
      <c r="A153" s="159"/>
      <c r="B153" s="109">
        <f>+'시산표(현금유출입)'!D153</f>
        <v>0</v>
      </c>
      <c r="C153" s="110" t="s">
        <v>689</v>
      </c>
      <c r="D153" s="109">
        <f>+'시산표(현금유출입)'!F153</f>
        <v>0</v>
      </c>
      <c r="E153" s="111">
        <f t="shared" si="3"/>
        <v>0</v>
      </c>
      <c r="G153" s="115"/>
      <c r="I153" s="115"/>
    </row>
    <row r="154" spans="1:9" s="114" customFormat="1" ht="13.5">
      <c r="A154" s="159"/>
      <c r="B154" s="109">
        <f>+'시산표(현금유출입)'!D154</f>
        <v>0</v>
      </c>
      <c r="C154" s="110" t="s">
        <v>690</v>
      </c>
      <c r="D154" s="109">
        <f>+'시산표(현금유출입)'!F154</f>
        <v>2239663279</v>
      </c>
      <c r="E154" s="111">
        <f t="shared" si="3"/>
        <v>2239663279</v>
      </c>
      <c r="G154" s="115"/>
      <c r="I154" s="115"/>
    </row>
    <row r="155" spans="1:9" s="114" customFormat="1" ht="13.5">
      <c r="A155" s="159"/>
      <c r="B155" s="109">
        <f>+'시산표(현금유출입)'!D155</f>
        <v>0</v>
      </c>
      <c r="C155" s="110" t="s">
        <v>102</v>
      </c>
      <c r="D155" s="109">
        <f>+'시산표(현금유출입)'!F155</f>
        <v>0</v>
      </c>
      <c r="E155" s="111">
        <f t="shared" si="3"/>
        <v>0</v>
      </c>
      <c r="G155" s="115"/>
      <c r="I155" s="115"/>
    </row>
    <row r="156" spans="1:9" s="114" customFormat="1" ht="13.5">
      <c r="A156" s="159"/>
      <c r="B156" s="109">
        <f>+'시산표(현금유출입)'!D156</f>
        <v>0</v>
      </c>
      <c r="C156" s="110" t="s">
        <v>691</v>
      </c>
      <c r="D156" s="109">
        <f>+'시산표(현금유출입)'!F156</f>
        <v>2067841622</v>
      </c>
      <c r="E156" s="111">
        <f t="shared" si="3"/>
        <v>2067841622</v>
      </c>
      <c r="G156" s="115"/>
      <c r="I156" s="115"/>
    </row>
    <row r="157" spans="1:9" s="114" customFormat="1" ht="13.5">
      <c r="A157" s="159"/>
      <c r="B157" s="109">
        <f>+'시산표(현금유출입)'!D157</f>
        <v>0</v>
      </c>
      <c r="C157" s="110" t="s">
        <v>692</v>
      </c>
      <c r="D157" s="109">
        <f>+'시산표(현금유출입)'!F157</f>
        <v>1611140464</v>
      </c>
      <c r="E157" s="111">
        <f t="shared" si="3"/>
        <v>1611140464</v>
      </c>
      <c r="G157" s="115"/>
      <c r="I157" s="115"/>
    </row>
    <row r="158" spans="1:9" s="114" customFormat="1" ht="13.5">
      <c r="A158" s="159"/>
      <c r="B158" s="109">
        <f>+'시산표(현금유출입)'!D158</f>
        <v>0</v>
      </c>
      <c r="C158" s="110" t="s">
        <v>693</v>
      </c>
      <c r="D158" s="109">
        <f>+'시산표(현금유출입)'!F158</f>
        <v>0</v>
      </c>
      <c r="E158" s="111">
        <f t="shared" si="3"/>
        <v>0</v>
      </c>
      <c r="G158" s="115"/>
      <c r="I158" s="115"/>
    </row>
    <row r="159" spans="1:9" s="114" customFormat="1" ht="13.5">
      <c r="A159" s="159"/>
      <c r="B159" s="109">
        <f>+'시산표(현금유출입)'!D159</f>
        <v>0</v>
      </c>
      <c r="C159" s="110" t="s">
        <v>694</v>
      </c>
      <c r="D159" s="109">
        <f>+'시산표(현금유출입)'!F159</f>
        <v>1374718488</v>
      </c>
      <c r="E159" s="111">
        <f t="shared" si="3"/>
        <v>1374718488</v>
      </c>
      <c r="F159" s="115"/>
      <c r="G159" s="115"/>
      <c r="I159" s="115"/>
    </row>
    <row r="160" spans="1:9" s="114" customFormat="1" ht="13.5">
      <c r="A160" s="159"/>
      <c r="B160" s="109">
        <f>+'시산표(현금유출입)'!D160</f>
        <v>0</v>
      </c>
      <c r="C160" s="110" t="s">
        <v>777</v>
      </c>
      <c r="D160" s="109">
        <f>+'시산표(현금유출입)'!F160</f>
        <v>983313027</v>
      </c>
      <c r="E160" s="111">
        <f>D160-B160</f>
        <v>983313027</v>
      </c>
      <c r="F160" s="115"/>
      <c r="G160" s="115"/>
      <c r="I160" s="115"/>
    </row>
    <row r="161" spans="1:9" s="114" customFormat="1" ht="13.5">
      <c r="A161" s="159">
        <f>B161-D161</f>
        <v>0</v>
      </c>
      <c r="B161" s="109">
        <f>+'시산표(현금유출입)'!D161</f>
        <v>0</v>
      </c>
      <c r="C161" s="110" t="s">
        <v>103</v>
      </c>
      <c r="D161" s="109">
        <f>+'시산표(현금유출입)'!F161</f>
        <v>0</v>
      </c>
      <c r="E161" s="111"/>
      <c r="G161" s="115"/>
      <c r="I161" s="115"/>
    </row>
    <row r="162" spans="1:9" s="114" customFormat="1" ht="13.5">
      <c r="A162" s="159">
        <f aca="true" t="shared" si="4" ref="A162:A172">B162-D162</f>
        <v>0</v>
      </c>
      <c r="B162" s="109">
        <f>+'시산표(현금유출입)'!D162</f>
        <v>0</v>
      </c>
      <c r="C162" s="110" t="s">
        <v>104</v>
      </c>
      <c r="D162" s="109">
        <f>+'시산표(현금유출입)'!F162</f>
        <v>0</v>
      </c>
      <c r="E162" s="111"/>
      <c r="G162" s="115"/>
      <c r="I162" s="115"/>
    </row>
    <row r="163" spans="1:9" s="114" customFormat="1" ht="13.5">
      <c r="A163" s="159">
        <f t="shared" si="4"/>
        <v>0</v>
      </c>
      <c r="B163" s="109">
        <f>+'시산표(현금유출입)'!D163</f>
        <v>0</v>
      </c>
      <c r="C163" s="110" t="s">
        <v>105</v>
      </c>
      <c r="D163" s="109">
        <f>+'시산표(현금유출입)'!F163</f>
        <v>0</v>
      </c>
      <c r="E163" s="111"/>
      <c r="G163" s="115"/>
      <c r="I163" s="115"/>
    </row>
    <row r="164" spans="1:9" s="114" customFormat="1" ht="13.5">
      <c r="A164" s="159">
        <f t="shared" si="4"/>
        <v>0</v>
      </c>
      <c r="B164" s="109">
        <f>+'시산표(현금유출입)'!D164</f>
        <v>0</v>
      </c>
      <c r="C164" s="110" t="s">
        <v>695</v>
      </c>
      <c r="D164" s="109">
        <f>+'시산표(현금유출입)'!F164</f>
        <v>0</v>
      </c>
      <c r="E164" s="111"/>
      <c r="G164" s="115"/>
      <c r="I164" s="115"/>
    </row>
    <row r="165" spans="1:9" s="114" customFormat="1" ht="13.5">
      <c r="A165" s="159">
        <f t="shared" si="4"/>
        <v>0</v>
      </c>
      <c r="B165" s="109">
        <f>+'시산표(현금유출입)'!D165</f>
        <v>0</v>
      </c>
      <c r="C165" s="110" t="s">
        <v>106</v>
      </c>
      <c r="D165" s="109">
        <f>+'시산표(현금유출입)'!F165</f>
        <v>0</v>
      </c>
      <c r="E165" s="111"/>
      <c r="G165" s="115"/>
      <c r="I165" s="115"/>
    </row>
    <row r="166" spans="1:9" s="114" customFormat="1" ht="13.5">
      <c r="A166" s="159">
        <f t="shared" si="4"/>
        <v>0</v>
      </c>
      <c r="B166" s="109">
        <f>+'시산표(현금유출입)'!D166</f>
        <v>0</v>
      </c>
      <c r="C166" s="110" t="s">
        <v>83</v>
      </c>
      <c r="D166" s="109">
        <f>+'시산표(현금유출입)'!F166</f>
        <v>0</v>
      </c>
      <c r="E166" s="111"/>
      <c r="G166" s="115"/>
      <c r="I166" s="115"/>
    </row>
    <row r="167" spans="1:9" s="114" customFormat="1" ht="13.5">
      <c r="A167" s="159">
        <f t="shared" si="4"/>
        <v>0</v>
      </c>
      <c r="B167" s="109">
        <f>+'시산표(현금유출입)'!D167</f>
        <v>0</v>
      </c>
      <c r="C167" s="110" t="s">
        <v>107</v>
      </c>
      <c r="D167" s="109">
        <f>+'시산표(현금유출입)'!F167</f>
        <v>0</v>
      </c>
      <c r="E167" s="111"/>
      <c r="G167" s="115"/>
      <c r="I167" s="115"/>
    </row>
    <row r="168" spans="1:9" s="114" customFormat="1" ht="13.5">
      <c r="A168" s="159">
        <f>+B168</f>
        <v>0</v>
      </c>
      <c r="B168" s="109">
        <f>+'시산표(현금유출입)'!D168</f>
        <v>0</v>
      </c>
      <c r="C168" s="110" t="s">
        <v>778</v>
      </c>
      <c r="D168" s="109">
        <f>+'시산표(현금유출입)'!F168</f>
        <v>562871553</v>
      </c>
      <c r="E168" s="111">
        <f>+D168</f>
        <v>562871553</v>
      </c>
      <c r="G168" s="115"/>
      <c r="I168" s="115"/>
    </row>
    <row r="169" spans="1:9" s="114" customFormat="1" ht="13.5">
      <c r="A169" s="159">
        <f t="shared" si="4"/>
        <v>0</v>
      </c>
      <c r="B169" s="109">
        <f>+'시산표(현금유출입)'!D169</f>
        <v>0</v>
      </c>
      <c r="C169" s="110" t="s">
        <v>779</v>
      </c>
      <c r="D169" s="109"/>
      <c r="E169" s="111"/>
      <c r="G169" s="115"/>
      <c r="I169" s="115"/>
    </row>
    <row r="170" spans="1:9" s="114" customFormat="1" ht="13.5">
      <c r="A170" s="159">
        <f t="shared" si="4"/>
        <v>0</v>
      </c>
      <c r="B170" s="109">
        <f>+'시산표(현금유출입)'!D170</f>
        <v>0</v>
      </c>
      <c r="C170" s="110" t="s">
        <v>108</v>
      </c>
      <c r="D170" s="109">
        <f>+'시산표(현금유출입)'!F170</f>
        <v>0</v>
      </c>
      <c r="E170" s="111"/>
      <c r="G170" s="115"/>
      <c r="I170" s="115"/>
    </row>
    <row r="171" spans="1:9" s="114" customFormat="1" ht="13.5">
      <c r="A171" s="159">
        <f t="shared" si="4"/>
        <v>52928882894</v>
      </c>
      <c r="B171" s="109">
        <f>+'시산표(현금유출입)'!D171</f>
        <v>52928882894</v>
      </c>
      <c r="C171" s="110" t="s">
        <v>696</v>
      </c>
      <c r="D171" s="109">
        <f>+'시산표(현금유출입)'!F171</f>
        <v>0</v>
      </c>
      <c r="E171" s="111"/>
      <c r="G171" s="115"/>
      <c r="I171" s="115"/>
    </row>
    <row r="172" spans="1:9" s="114" customFormat="1" ht="13.5">
      <c r="A172" s="159">
        <f t="shared" si="4"/>
        <v>242253832</v>
      </c>
      <c r="B172" s="109">
        <f>+'시산표(현금유출입)'!D172</f>
        <v>242253832</v>
      </c>
      <c r="C172" s="110" t="s">
        <v>109</v>
      </c>
      <c r="D172" s="109">
        <f>+'시산표(현금유출입)'!F172</f>
        <v>0</v>
      </c>
      <c r="E172" s="111"/>
      <c r="G172" s="115"/>
      <c r="I172" s="115"/>
    </row>
    <row r="173" spans="1:9" s="114" customFormat="1" ht="13.5">
      <c r="A173" s="159">
        <f>B173</f>
        <v>0</v>
      </c>
      <c r="B173" s="109">
        <f>+'시산표(현금유출입)'!D173</f>
        <v>0</v>
      </c>
      <c r="C173" s="110" t="s">
        <v>697</v>
      </c>
      <c r="D173" s="109">
        <f>+'시산표(현금유출입)'!F173</f>
        <v>63189792</v>
      </c>
      <c r="E173" s="111">
        <f>D173-B173</f>
        <v>63189792</v>
      </c>
      <c r="G173" s="115"/>
      <c r="I173" s="115"/>
    </row>
    <row r="174" spans="1:9" s="114" customFormat="1" ht="13.5">
      <c r="A174" s="159">
        <f>B174-D174</f>
        <v>0</v>
      </c>
      <c r="B174" s="109">
        <f>+'시산표(현금유출입)'!D174</f>
        <v>0</v>
      </c>
      <c r="C174" s="110" t="s">
        <v>110</v>
      </c>
      <c r="D174" s="109">
        <f>+'시산표(현금유출입)'!F174</f>
        <v>0</v>
      </c>
      <c r="E174" s="111"/>
      <c r="G174" s="115"/>
      <c r="I174" s="115"/>
    </row>
    <row r="175" spans="1:9" s="114" customFormat="1" ht="13.5">
      <c r="A175" s="159"/>
      <c r="B175" s="109">
        <f>+'시산표(현금유출입)'!D175</f>
        <v>0</v>
      </c>
      <c r="C175" s="110" t="s">
        <v>780</v>
      </c>
      <c r="D175" s="109">
        <f>+'시산표(현금유출입)'!F175</f>
        <v>0</v>
      </c>
      <c r="E175" s="111">
        <f>D175-B175</f>
        <v>0</v>
      </c>
      <c r="G175" s="115"/>
      <c r="I175" s="115"/>
    </row>
    <row r="176" spans="1:9" s="114" customFormat="1" ht="13.5">
      <c r="A176" s="159">
        <f>B176-D176</f>
        <v>0</v>
      </c>
      <c r="B176" s="109">
        <f>+'시산표(현금유출입)'!D176</f>
        <v>0</v>
      </c>
      <c r="C176" s="110" t="s">
        <v>781</v>
      </c>
      <c r="D176" s="109">
        <f>+'시산표(현금유출입)'!F176</f>
        <v>0</v>
      </c>
      <c r="E176" s="111"/>
      <c r="G176" s="115"/>
      <c r="I176" s="115"/>
    </row>
    <row r="177" spans="1:9" s="114" customFormat="1" ht="14.25" thickBot="1">
      <c r="A177" s="172">
        <f>B177-D177</f>
        <v>0</v>
      </c>
      <c r="B177" s="109">
        <f>+'시산표(현금유출입)'!D177</f>
        <v>0</v>
      </c>
      <c r="C177" s="173" t="s">
        <v>111</v>
      </c>
      <c r="D177" s="109">
        <f>+'시산표(현금유출입)'!F177</f>
        <v>0</v>
      </c>
      <c r="E177" s="174"/>
      <c r="G177" s="115"/>
      <c r="I177" s="115"/>
    </row>
    <row r="178" spans="1:5" s="114" customFormat="1" ht="15" thickBot="1" thickTop="1">
      <c r="A178" s="175">
        <f>SUM(A6:A177)</f>
        <v>720861707353</v>
      </c>
      <c r="B178" s="176">
        <f>SUM(B6:B177)</f>
        <v>2484877122747</v>
      </c>
      <c r="C178" s="177" t="s">
        <v>112</v>
      </c>
      <c r="D178" s="176">
        <f>SUM(D6:D177)</f>
        <v>2484877122747</v>
      </c>
      <c r="E178" s="178">
        <f>SUM(E6:E177)</f>
        <v>720861707353</v>
      </c>
    </row>
    <row r="179" spans="1:4" ht="14.25">
      <c r="A179" s="179"/>
      <c r="D179" s="179"/>
    </row>
    <row r="180" spans="1:5" ht="14.25">
      <c r="A180" s="180"/>
      <c r="B180" s="179"/>
      <c r="D180" s="179">
        <f>D178-B178</f>
        <v>0</v>
      </c>
      <c r="E180" s="118">
        <f>E178-A178</f>
        <v>0</v>
      </c>
    </row>
    <row r="181" spans="1:6" ht="14.25">
      <c r="A181" s="181"/>
      <c r="B181" s="181"/>
      <c r="D181" s="182"/>
      <c r="E181" s="183"/>
      <c r="F181" s="183"/>
    </row>
    <row r="182" spans="1:6" ht="14.25">
      <c r="A182" s="181">
        <v>669168911718</v>
      </c>
      <c r="B182" s="181">
        <v>2435242128913</v>
      </c>
      <c r="D182" s="183"/>
      <c r="E182" s="183"/>
      <c r="F182" s="183"/>
    </row>
    <row r="183" spans="1:6" ht="14.25">
      <c r="A183" s="118">
        <f>+A182-A178</f>
        <v>-51692795635</v>
      </c>
      <c r="B183" s="118">
        <f>+B182-B178</f>
        <v>-49634993834</v>
      </c>
      <c r="D183" s="183"/>
      <c r="E183" s="183"/>
      <c r="F183" s="183"/>
    </row>
    <row r="184" spans="2:6" ht="14.25">
      <c r="B184" s="432">
        <v>6000000000</v>
      </c>
      <c r="D184" s="183"/>
      <c r="E184" s="183"/>
      <c r="F184" s="183"/>
    </row>
    <row r="185" ht="14.25">
      <c r="B185" s="118">
        <f>+B184-B183</f>
        <v>55634993834</v>
      </c>
    </row>
    <row r="186" ht="14.25">
      <c r="B186" s="118">
        <f>+B185-B183</f>
        <v>105269987668</v>
      </c>
    </row>
    <row r="187" spans="2:8" ht="14.25">
      <c r="B187" s="432">
        <f>+B186-D168</f>
        <v>104707116115</v>
      </c>
      <c r="G187" s="184"/>
      <c r="H187" s="184"/>
    </row>
    <row r="188" ht="14.25">
      <c r="B188" s="185"/>
    </row>
  </sheetData>
  <sheetProtection/>
  <printOptions horizontalCentered="1"/>
  <pageMargins left="0.35433070866141736" right="0.35433070866141736" top="0.6" bottom="0.49" header="0.5118110236220472" footer="0.5118110236220472"/>
  <pageSetup horizontalDpi="600" verticalDpi="600" orientation="portrait" paperSize="9" scale="85" r:id="rId4"/>
  <rowBreaks count="2" manualBreakCount="2">
    <brk id="62" max="4" man="1"/>
    <brk id="12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7"/>
  <sheetViews>
    <sheetView showGridLines="0" zoomScalePageLayoutView="0" workbookViewId="0" topLeftCell="A102">
      <selection activeCell="E210" sqref="E210"/>
    </sheetView>
  </sheetViews>
  <sheetFormatPr defaultColWidth="9.625" defaultRowHeight="14.25"/>
  <cols>
    <col min="1" max="1" width="28.875" style="119" customWidth="1"/>
    <col min="2" max="5" width="21.50390625" style="119" customWidth="1"/>
    <col min="6" max="6" width="3.875" style="119" customWidth="1"/>
    <col min="7" max="7" width="18.375" style="119" customWidth="1"/>
    <col min="8" max="8" width="18.375" style="119" bestFit="1" customWidth="1"/>
    <col min="9" max="10" width="17.25390625" style="119" bestFit="1" customWidth="1"/>
    <col min="11" max="16384" width="9.625" style="119" customWidth="1"/>
  </cols>
  <sheetData>
    <row r="1" spans="1:5" ht="35.25">
      <c r="A1" s="243" t="s">
        <v>113</v>
      </c>
      <c r="B1" s="244"/>
      <c r="C1" s="244"/>
      <c r="D1" s="244"/>
      <c r="E1" s="244"/>
    </row>
    <row r="2" spans="1:5" ht="14.25">
      <c r="A2" s="245" t="str">
        <f>+부속tb!A2</f>
        <v>第36期 2019年 2月 28日 現在</v>
      </c>
      <c r="B2" s="245"/>
      <c r="C2" s="245"/>
      <c r="D2" s="245"/>
      <c r="E2" s="245"/>
    </row>
    <row r="3" spans="1:5" ht="14.25">
      <c r="A3" s="245" t="s">
        <v>1531</v>
      </c>
      <c r="B3" s="246"/>
      <c r="C3" s="246"/>
      <c r="D3" s="246"/>
      <c r="E3" s="246"/>
    </row>
    <row r="4" ht="14.25"/>
    <row r="5" ht="14.25"/>
    <row r="6" spans="1:5" ht="15" thickBot="1">
      <c r="A6" s="119" t="s">
        <v>268</v>
      </c>
      <c r="C6" s="118"/>
      <c r="E6" s="247" t="s">
        <v>613</v>
      </c>
    </row>
    <row r="7" spans="1:5" ht="18" customHeight="1">
      <c r="A7" s="248" t="s">
        <v>114</v>
      </c>
      <c r="B7" s="249" t="s">
        <v>1527</v>
      </c>
      <c r="C7" s="250"/>
      <c r="D7" s="249" t="s">
        <v>1526</v>
      </c>
      <c r="E7" s="251"/>
    </row>
    <row r="8" spans="1:5" ht="14.25">
      <c r="A8" s="252" t="s">
        <v>115</v>
      </c>
      <c r="B8" s="117" t="s">
        <v>1</v>
      </c>
      <c r="C8" s="203"/>
      <c r="D8" s="117" t="s">
        <v>1</v>
      </c>
      <c r="E8" s="203"/>
    </row>
    <row r="9" spans="1:7" ht="14.25">
      <c r="A9" s="253" t="s">
        <v>116</v>
      </c>
      <c r="B9" s="117"/>
      <c r="C9" s="261">
        <f>C10+C29+C35</f>
        <v>186182214800</v>
      </c>
      <c r="D9" s="117"/>
      <c r="E9" s="261">
        <v>217388497194</v>
      </c>
      <c r="F9" s="118"/>
      <c r="G9" s="118"/>
    </row>
    <row r="10" spans="1:7" ht="14.25">
      <c r="A10" s="116" t="s">
        <v>117</v>
      </c>
      <c r="B10" s="117"/>
      <c r="C10" s="203">
        <f>SUM(C11:C28)</f>
        <v>184984984137</v>
      </c>
      <c r="D10" s="117"/>
      <c r="E10" s="203">
        <v>216018601124</v>
      </c>
      <c r="F10" s="118"/>
      <c r="G10" s="118"/>
    </row>
    <row r="11" spans="1:7" ht="14.25">
      <c r="A11" s="116" t="s">
        <v>760</v>
      </c>
      <c r="B11" s="117"/>
      <c r="C11" s="136">
        <f>부속tb!A6</f>
        <v>35451460</v>
      </c>
      <c r="D11" s="117"/>
      <c r="E11" s="136">
        <v>9768039312</v>
      </c>
      <c r="F11" s="118"/>
      <c r="G11" s="118"/>
    </row>
    <row r="12" spans="1:7" ht="14.25">
      <c r="A12" s="116" t="s">
        <v>761</v>
      </c>
      <c r="B12" s="117">
        <f>+부속tb!A7</f>
        <v>156000250446</v>
      </c>
      <c r="C12" s="136"/>
      <c r="D12" s="117">
        <v>181206063432</v>
      </c>
      <c r="E12" s="136"/>
      <c r="F12" s="118"/>
      <c r="G12" s="118"/>
    </row>
    <row r="13" spans="1:7" ht="14.25">
      <c r="A13" s="254" t="s">
        <v>711</v>
      </c>
      <c r="B13" s="117">
        <f>+부속tb!E8</f>
        <v>0</v>
      </c>
      <c r="C13" s="136">
        <f>+B12-B13</f>
        <v>156000250446</v>
      </c>
      <c r="D13" s="117">
        <v>0</v>
      </c>
      <c r="E13" s="136">
        <v>181206063432</v>
      </c>
      <c r="F13" s="118"/>
      <c r="G13" s="118"/>
    </row>
    <row r="14" spans="1:7" ht="14.25">
      <c r="A14" s="116" t="s">
        <v>118</v>
      </c>
      <c r="B14" s="117"/>
      <c r="C14" s="136">
        <f>부속tb!A9</f>
        <v>0</v>
      </c>
      <c r="D14" s="117"/>
      <c r="E14" s="136">
        <v>0</v>
      </c>
      <c r="F14" s="118"/>
      <c r="G14" s="118"/>
    </row>
    <row r="15" spans="1:9" ht="14.25">
      <c r="A15" s="116" t="s">
        <v>119</v>
      </c>
      <c r="B15" s="202">
        <f>부속tb!A10</f>
        <v>5516324080</v>
      </c>
      <c r="C15" s="203" t="s">
        <v>1</v>
      </c>
      <c r="D15" s="202">
        <v>4689543515</v>
      </c>
      <c r="E15" s="203" t="s">
        <v>1</v>
      </c>
      <c r="F15" s="118"/>
      <c r="G15" s="118"/>
      <c r="H15" s="118"/>
      <c r="I15" s="118"/>
    </row>
    <row r="16" spans="1:9" ht="14.25">
      <c r="A16" s="116" t="s">
        <v>120</v>
      </c>
      <c r="B16" s="534">
        <v>55163240</v>
      </c>
      <c r="C16" s="203">
        <f>B15-B16</f>
        <v>5461160840</v>
      </c>
      <c r="D16" s="202">
        <v>46895435</v>
      </c>
      <c r="E16" s="203">
        <v>4642648080</v>
      </c>
      <c r="F16" s="118"/>
      <c r="G16" s="118">
        <f>+B16-D16</f>
        <v>8267805</v>
      </c>
      <c r="H16" s="118">
        <f>+B15+B17+B19+B21+B23</f>
        <v>29241699222</v>
      </c>
      <c r="I16" s="118"/>
    </row>
    <row r="17" spans="1:9" ht="14.25">
      <c r="A17" s="116" t="s">
        <v>121</v>
      </c>
      <c r="B17" s="202">
        <f>부속tb!A11</f>
        <v>7115610212</v>
      </c>
      <c r="C17" s="203" t="s">
        <v>1</v>
      </c>
      <c r="D17" s="202">
        <v>7555856368</v>
      </c>
      <c r="E17" s="203" t="s">
        <v>1</v>
      </c>
      <c r="F17" s="118"/>
      <c r="G17" s="118"/>
      <c r="H17" s="118"/>
      <c r="I17" s="118"/>
    </row>
    <row r="18" spans="1:9" ht="14.25">
      <c r="A18" s="116" t="s">
        <v>120</v>
      </c>
      <c r="B18" s="534">
        <v>71156102</v>
      </c>
      <c r="C18" s="203">
        <f>B17-B18</f>
        <v>7044454110</v>
      </c>
      <c r="D18" s="202">
        <v>75558564</v>
      </c>
      <c r="E18" s="203">
        <v>7480297804</v>
      </c>
      <c r="F18" s="118"/>
      <c r="G18" s="118">
        <f aca="true" t="shared" si="0" ref="G18:G37">+B18-D18</f>
        <v>-4402462</v>
      </c>
      <c r="H18" s="118"/>
      <c r="I18" s="118"/>
    </row>
    <row r="19" spans="1:9" ht="14.25">
      <c r="A19" s="116" t="s">
        <v>122</v>
      </c>
      <c r="B19" s="202">
        <f>부속tb!A12</f>
        <v>13824559713</v>
      </c>
      <c r="C19" s="203" t="s">
        <v>1</v>
      </c>
      <c r="D19" s="202">
        <v>9852856797</v>
      </c>
      <c r="E19" s="203" t="s">
        <v>1</v>
      </c>
      <c r="F19" s="118"/>
      <c r="G19" s="118"/>
      <c r="H19" s="118"/>
      <c r="I19" s="118"/>
    </row>
    <row r="20" spans="1:9" ht="14.25">
      <c r="A20" s="116" t="s">
        <v>120</v>
      </c>
      <c r="B20" s="534">
        <v>138245597</v>
      </c>
      <c r="C20" s="203">
        <f>B19-B20</f>
        <v>13686314116</v>
      </c>
      <c r="D20" s="202">
        <v>98528568</v>
      </c>
      <c r="E20" s="203">
        <v>9754328229</v>
      </c>
      <c r="F20" s="118"/>
      <c r="G20" s="118">
        <f t="shared" si="0"/>
        <v>39717029</v>
      </c>
      <c r="H20" s="118"/>
      <c r="I20" s="118"/>
    </row>
    <row r="21" spans="1:9" ht="14.25">
      <c r="A21" s="518" t="s">
        <v>808</v>
      </c>
      <c r="B21" s="202">
        <f>부속tb!A13</f>
        <v>585686099</v>
      </c>
      <c r="C21" s="203"/>
      <c r="D21" s="202">
        <v>909914996</v>
      </c>
      <c r="E21" s="203"/>
      <c r="F21" s="118"/>
      <c r="G21" s="118"/>
      <c r="H21" s="118"/>
      <c r="I21" s="118"/>
    </row>
    <row r="22" spans="1:9" ht="14.25">
      <c r="A22" s="116" t="s">
        <v>120</v>
      </c>
      <c r="B22" s="521">
        <v>5856861</v>
      </c>
      <c r="C22" s="203">
        <f>B21-B22</f>
        <v>579829238</v>
      </c>
      <c r="D22" s="202">
        <v>9099150</v>
      </c>
      <c r="E22" s="203">
        <v>900815846</v>
      </c>
      <c r="F22" s="118"/>
      <c r="G22" s="118">
        <f t="shared" si="0"/>
        <v>-3242289</v>
      </c>
      <c r="H22" s="118"/>
      <c r="I22" s="118"/>
    </row>
    <row r="23" spans="1:9" ht="14.25">
      <c r="A23" s="518" t="s">
        <v>809</v>
      </c>
      <c r="B23" s="202">
        <f>부속tb!A14</f>
        <v>2199519118</v>
      </c>
      <c r="C23" s="203"/>
      <c r="D23" s="202">
        <v>2230150025</v>
      </c>
      <c r="E23" s="203"/>
      <c r="F23" s="118"/>
      <c r="G23" s="118"/>
      <c r="H23" s="118"/>
      <c r="I23" s="118"/>
    </row>
    <row r="24" spans="1:9" ht="14.25">
      <c r="A24" s="116" t="s">
        <v>120</v>
      </c>
      <c r="B24" s="534">
        <f>21995191</f>
        <v>21995191</v>
      </c>
      <c r="C24" s="203">
        <f>B23-B24</f>
        <v>2177523927</v>
      </c>
      <c r="D24" s="202">
        <v>22301500</v>
      </c>
      <c r="E24" s="203">
        <v>2207848525</v>
      </c>
      <c r="F24" s="118"/>
      <c r="G24" s="118">
        <f t="shared" si="0"/>
        <v>-306309</v>
      </c>
      <c r="H24" s="118"/>
      <c r="I24" s="118"/>
    </row>
    <row r="25" spans="1:9" ht="14.25">
      <c r="A25" s="116" t="s">
        <v>123</v>
      </c>
      <c r="B25" s="202">
        <f>부속tb!A15</f>
        <v>0</v>
      </c>
      <c r="C25" s="203" t="s">
        <v>1</v>
      </c>
      <c r="D25" s="202">
        <v>59151410</v>
      </c>
      <c r="E25" s="203" t="s">
        <v>1</v>
      </c>
      <c r="F25" s="118"/>
      <c r="G25" s="118"/>
      <c r="H25" s="118"/>
      <c r="I25" s="118"/>
    </row>
    <row r="26" spans="1:9" ht="14.25">
      <c r="A26" s="116" t="s">
        <v>120</v>
      </c>
      <c r="B26" s="521">
        <v>0</v>
      </c>
      <c r="C26" s="203">
        <f>B25-B26</f>
        <v>0</v>
      </c>
      <c r="D26" s="202">
        <v>591514</v>
      </c>
      <c r="E26" s="203">
        <v>58559896</v>
      </c>
      <c r="F26" s="118"/>
      <c r="G26" s="118">
        <f t="shared" si="0"/>
        <v>-591514</v>
      </c>
      <c r="H26" s="118"/>
      <c r="I26" s="118"/>
    </row>
    <row r="27" spans="1:9" ht="14.25">
      <c r="A27" s="116" t="s">
        <v>124</v>
      </c>
      <c r="B27" s="202">
        <f>부속tb!A16</f>
        <v>0</v>
      </c>
      <c r="C27" s="203">
        <f>B27</f>
        <v>0</v>
      </c>
      <c r="D27" s="202">
        <v>0</v>
      </c>
      <c r="E27" s="203">
        <v>0</v>
      </c>
      <c r="F27" s="118"/>
      <c r="G27" s="118">
        <f t="shared" si="0"/>
        <v>0</v>
      </c>
      <c r="H27" s="118"/>
      <c r="I27" s="118"/>
    </row>
    <row r="28" spans="1:9" ht="14.25">
      <c r="A28" s="116" t="s">
        <v>125</v>
      </c>
      <c r="B28" s="202">
        <f>부속tb!A17</f>
        <v>0</v>
      </c>
      <c r="C28" s="203">
        <f>B28</f>
        <v>0</v>
      </c>
      <c r="D28" s="202">
        <v>0</v>
      </c>
      <c r="E28" s="203">
        <v>0</v>
      </c>
      <c r="F28" s="118"/>
      <c r="G28" s="118">
        <f t="shared" si="0"/>
        <v>0</v>
      </c>
      <c r="H28" s="118"/>
      <c r="I28" s="118"/>
    </row>
    <row r="29" spans="1:9" ht="14.25">
      <c r="A29" s="116" t="s">
        <v>126</v>
      </c>
      <c r="B29" s="117"/>
      <c r="C29" s="203">
        <f>SUM(C30:C34)</f>
        <v>468371070</v>
      </c>
      <c r="D29" s="117"/>
      <c r="E29" s="203">
        <v>482196173</v>
      </c>
      <c r="F29" s="118"/>
      <c r="G29" s="118">
        <f t="shared" si="0"/>
        <v>0</v>
      </c>
      <c r="H29" s="118"/>
      <c r="I29" s="118"/>
    </row>
    <row r="30" spans="1:9" ht="14.25">
      <c r="A30" s="116" t="s">
        <v>127</v>
      </c>
      <c r="B30" s="117"/>
      <c r="C30" s="203">
        <f>부속tb!A18</f>
        <v>435177580</v>
      </c>
      <c r="D30" s="117"/>
      <c r="E30" s="203">
        <v>449409519</v>
      </c>
      <c r="F30" s="118"/>
      <c r="G30" s="118">
        <f t="shared" si="0"/>
        <v>0</v>
      </c>
      <c r="H30" s="118"/>
      <c r="I30" s="118"/>
    </row>
    <row r="31" spans="1:9" ht="14.25">
      <c r="A31" s="116" t="s">
        <v>128</v>
      </c>
      <c r="B31" s="117"/>
      <c r="C31" s="203">
        <f>부속tb!A19</f>
        <v>27308090</v>
      </c>
      <c r="D31" s="117"/>
      <c r="E31" s="203">
        <v>29806654</v>
      </c>
      <c r="F31" s="118"/>
      <c r="G31" s="118">
        <f t="shared" si="0"/>
        <v>0</v>
      </c>
      <c r="H31" s="118"/>
      <c r="I31" s="118"/>
    </row>
    <row r="32" spans="1:9" ht="14.25">
      <c r="A32" s="116" t="s">
        <v>129</v>
      </c>
      <c r="B32" s="117"/>
      <c r="C32" s="203">
        <f>부속tb!A20</f>
        <v>5885400</v>
      </c>
      <c r="D32" s="117"/>
      <c r="E32" s="203">
        <v>2980000</v>
      </c>
      <c r="F32" s="118"/>
      <c r="G32" s="118">
        <f t="shared" si="0"/>
        <v>0</v>
      </c>
      <c r="H32" s="118"/>
      <c r="I32" s="118"/>
    </row>
    <row r="33" spans="1:8" ht="14.25">
      <c r="A33" s="116" t="s">
        <v>130</v>
      </c>
      <c r="B33" s="117"/>
      <c r="C33" s="203">
        <f>부속tb!A21</f>
        <v>0</v>
      </c>
      <c r="D33" s="117"/>
      <c r="E33" s="203">
        <v>0</v>
      </c>
      <c r="F33" s="118"/>
      <c r="G33" s="118">
        <f t="shared" si="0"/>
        <v>0</v>
      </c>
      <c r="H33" s="118"/>
    </row>
    <row r="34" spans="1:8" ht="14.25">
      <c r="A34" s="116" t="s">
        <v>131</v>
      </c>
      <c r="B34" s="117"/>
      <c r="C34" s="203">
        <f>부속tb!A22</f>
        <v>0</v>
      </c>
      <c r="D34" s="117"/>
      <c r="E34" s="203">
        <v>0</v>
      </c>
      <c r="F34" s="118"/>
      <c r="G34" s="118">
        <f t="shared" si="0"/>
        <v>0</v>
      </c>
      <c r="H34" s="118"/>
    </row>
    <row r="35" spans="1:7" ht="14.25">
      <c r="A35" s="116" t="s">
        <v>132</v>
      </c>
      <c r="B35" s="117"/>
      <c r="C35" s="203">
        <f>SUM(C36:C40)</f>
        <v>728859593</v>
      </c>
      <c r="D35" s="117"/>
      <c r="E35" s="203">
        <v>887699897</v>
      </c>
      <c r="F35" s="118"/>
      <c r="G35" s="118">
        <f t="shared" si="0"/>
        <v>0</v>
      </c>
    </row>
    <row r="36" spans="1:7" ht="14.25">
      <c r="A36" s="116" t="s">
        <v>133</v>
      </c>
      <c r="B36" s="117">
        <f>+부속tb!A23</f>
        <v>221279841</v>
      </c>
      <c r="C36" s="203"/>
      <c r="D36" s="117">
        <v>509941815</v>
      </c>
      <c r="E36" s="203"/>
      <c r="F36" s="118"/>
      <c r="G36" s="118"/>
    </row>
    <row r="37" spans="1:7" ht="14.25">
      <c r="A37" s="116" t="s">
        <v>120</v>
      </c>
      <c r="B37" s="535">
        <v>2217798</v>
      </c>
      <c r="C37" s="203">
        <f>+B36-B37</f>
        <v>219062043</v>
      </c>
      <c r="D37" s="117">
        <v>5099418</v>
      </c>
      <c r="E37" s="203">
        <v>504842397</v>
      </c>
      <c r="F37" s="118"/>
      <c r="G37" s="118">
        <f t="shared" si="0"/>
        <v>-2881620</v>
      </c>
    </row>
    <row r="38" spans="1:7" ht="14.25">
      <c r="A38" s="116" t="s">
        <v>134</v>
      </c>
      <c r="B38" s="117"/>
      <c r="C38" s="203">
        <f>부속tb!A24</f>
        <v>9242810</v>
      </c>
      <c r="D38" s="117"/>
      <c r="E38" s="203">
        <v>7380220</v>
      </c>
      <c r="F38" s="118"/>
      <c r="G38" s="118"/>
    </row>
    <row r="39" spans="1:7" ht="14.25">
      <c r="A39" s="444" t="s">
        <v>135</v>
      </c>
      <c r="B39" s="445"/>
      <c r="C39" s="446">
        <f>부속tb!A25</f>
        <v>500554740</v>
      </c>
      <c r="D39" s="117"/>
      <c r="E39" s="203">
        <v>375477280</v>
      </c>
      <c r="F39" s="118"/>
      <c r="G39" s="118"/>
    </row>
    <row r="40" spans="1:7" ht="14.25">
      <c r="A40" s="116" t="s">
        <v>717</v>
      </c>
      <c r="B40" s="117"/>
      <c r="C40" s="203">
        <f>부속tb!A27</f>
        <v>0</v>
      </c>
      <c r="D40" s="117"/>
      <c r="E40" s="203">
        <v>0</v>
      </c>
      <c r="F40" s="118"/>
      <c r="G40" s="118"/>
    </row>
    <row r="41" spans="1:7" ht="14.25">
      <c r="A41" s="253" t="s">
        <v>136</v>
      </c>
      <c r="B41" s="117"/>
      <c r="C41" s="203">
        <f>C42+C48</f>
        <v>5667987208</v>
      </c>
      <c r="D41" s="117"/>
      <c r="E41" s="203">
        <v>5085215655</v>
      </c>
      <c r="F41" s="118"/>
      <c r="G41" s="118"/>
    </row>
    <row r="42" spans="1:7" ht="14.25">
      <c r="A42" s="116" t="s">
        <v>137</v>
      </c>
      <c r="B42" s="117"/>
      <c r="C42" s="203">
        <f>+C44+C45+C46+C47</f>
        <v>5433753208</v>
      </c>
      <c r="D42" s="117"/>
      <c r="E42" s="203">
        <v>4870981655</v>
      </c>
      <c r="F42" s="118"/>
      <c r="G42" s="118"/>
    </row>
    <row r="43" spans="1:7" ht="14.25">
      <c r="A43" s="116" t="s">
        <v>712</v>
      </c>
      <c r="B43" s="117">
        <f>+부속tb!A30</f>
        <v>2659200000</v>
      </c>
      <c r="C43" s="136"/>
      <c r="D43" s="117">
        <v>2114400000</v>
      </c>
      <c r="E43" s="136"/>
      <c r="F43" s="118"/>
      <c r="G43" s="118"/>
    </row>
    <row r="44" spans="1:7" ht="14.25">
      <c r="A44" s="116" t="s">
        <v>710</v>
      </c>
      <c r="B44" s="117">
        <f>+부속tb!E68</f>
        <v>0</v>
      </c>
      <c r="C44" s="136">
        <f>+B43-B44</f>
        <v>2659200000</v>
      </c>
      <c r="D44" s="117">
        <v>0</v>
      </c>
      <c r="E44" s="136">
        <v>2114400000</v>
      </c>
      <c r="F44" s="118"/>
      <c r="G44" s="118"/>
    </row>
    <row r="45" spans="1:7" ht="14.25">
      <c r="A45" s="518" t="s">
        <v>815</v>
      </c>
      <c r="B45" s="117"/>
      <c r="C45" s="136">
        <f>부속tb!A33</f>
        <v>752911500</v>
      </c>
      <c r="D45" s="117"/>
      <c r="E45" s="136">
        <v>752911500</v>
      </c>
      <c r="F45" s="118"/>
      <c r="G45" s="118"/>
    </row>
    <row r="46" spans="1:7" ht="14.25">
      <c r="A46" s="518" t="s">
        <v>810</v>
      </c>
      <c r="B46" s="117"/>
      <c r="C46" s="136">
        <f>부속tb!A31</f>
        <v>2020541708</v>
      </c>
      <c r="D46" s="117"/>
      <c r="E46" s="136">
        <v>2002570155</v>
      </c>
      <c r="F46" s="118"/>
      <c r="G46" s="118"/>
    </row>
    <row r="47" spans="1:7" ht="14.25">
      <c r="A47" s="518" t="s">
        <v>811</v>
      </c>
      <c r="B47" s="117"/>
      <c r="C47" s="136">
        <f>부속tb!A32</f>
        <v>1100000</v>
      </c>
      <c r="D47" s="117"/>
      <c r="E47" s="136">
        <v>1100000</v>
      </c>
      <c r="F47" s="118"/>
      <c r="G47" s="118"/>
    </row>
    <row r="48" spans="1:7" ht="14.25">
      <c r="A48" s="116" t="s">
        <v>138</v>
      </c>
      <c r="B48" s="255"/>
      <c r="C48" s="203">
        <f>C49+C50+C51</f>
        <v>234234000</v>
      </c>
      <c r="D48" s="255"/>
      <c r="E48" s="203">
        <v>214234000</v>
      </c>
      <c r="F48" s="118"/>
      <c r="G48" s="118"/>
    </row>
    <row r="49" spans="1:7" ht="14.25">
      <c r="A49" s="116" t="s">
        <v>139</v>
      </c>
      <c r="B49" s="255"/>
      <c r="C49" s="136">
        <f>부속tb!A34</f>
        <v>0</v>
      </c>
      <c r="D49" s="255"/>
      <c r="E49" s="136">
        <v>0</v>
      </c>
      <c r="F49" s="118"/>
      <c r="G49" s="118"/>
    </row>
    <row r="50" spans="1:7" ht="14.25">
      <c r="A50" s="116" t="s">
        <v>140</v>
      </c>
      <c r="B50" s="117"/>
      <c r="C50" s="136">
        <f>부속tb!A35</f>
        <v>220234000</v>
      </c>
      <c r="D50" s="117"/>
      <c r="E50" s="136">
        <v>200234000</v>
      </c>
      <c r="F50" s="118"/>
      <c r="G50" s="118"/>
    </row>
    <row r="51" spans="1:7" ht="14.25">
      <c r="A51" s="116" t="s">
        <v>614</v>
      </c>
      <c r="B51" s="117"/>
      <c r="C51" s="136">
        <f>부속tb!A37</f>
        <v>14000000</v>
      </c>
      <c r="D51" s="117"/>
      <c r="E51" s="136">
        <v>14000000</v>
      </c>
      <c r="F51" s="118"/>
      <c r="G51" s="118"/>
    </row>
    <row r="52" spans="1:7" ht="14.25">
      <c r="A52" s="253" t="s">
        <v>141</v>
      </c>
      <c r="B52" s="117"/>
      <c r="C52" s="203">
        <f>C53+C75</f>
        <v>166034601037</v>
      </c>
      <c r="D52" s="117"/>
      <c r="E52" s="203">
        <v>165905914778</v>
      </c>
      <c r="F52" s="118"/>
      <c r="G52" s="118"/>
    </row>
    <row r="53" spans="1:7" ht="14.25">
      <c r="A53" s="116" t="s">
        <v>142</v>
      </c>
      <c r="B53" s="117">
        <f>B57+B61+B64+B66+B69</f>
        <v>145301205157</v>
      </c>
      <c r="C53" s="203">
        <f>SUM(C54:C73)</f>
        <v>165286252389</v>
      </c>
      <c r="D53" s="117">
        <v>136181715049</v>
      </c>
      <c r="E53" s="203">
        <v>165780862694</v>
      </c>
      <c r="F53" s="118"/>
      <c r="G53" s="118"/>
    </row>
    <row r="54" spans="1:7" ht="14.25">
      <c r="A54" s="116" t="s">
        <v>143</v>
      </c>
      <c r="B54" s="117"/>
      <c r="C54" s="136">
        <f>부속tb!A38</f>
        <v>54011527248</v>
      </c>
      <c r="D54" s="117"/>
      <c r="E54" s="136">
        <v>54020278677</v>
      </c>
      <c r="F54" s="118"/>
      <c r="G54" s="118"/>
    </row>
    <row r="55" spans="1:7" ht="14.25">
      <c r="A55" s="116" t="s">
        <v>144</v>
      </c>
      <c r="B55" s="256">
        <f>부속tb!A39</f>
        <v>136694666319</v>
      </c>
      <c r="C55" s="203" t="s">
        <v>1</v>
      </c>
      <c r="D55" s="256">
        <v>132321771446</v>
      </c>
      <c r="E55" s="203" t="s">
        <v>1</v>
      </c>
      <c r="F55" s="118"/>
      <c r="G55" s="118"/>
    </row>
    <row r="56" spans="1:7" ht="14.25">
      <c r="A56" s="453" t="s">
        <v>702</v>
      </c>
      <c r="B56" s="202">
        <f>+부속tb!E40</f>
        <v>2256011334</v>
      </c>
      <c r="C56" s="203"/>
      <c r="D56" s="202">
        <v>2341385334</v>
      </c>
      <c r="E56" s="203"/>
      <c r="F56" s="118"/>
      <c r="G56" s="118"/>
    </row>
    <row r="57" spans="1:10" ht="14.25">
      <c r="A57" s="116" t="s">
        <v>615</v>
      </c>
      <c r="B57" s="521">
        <f>30608152984+44424</f>
        <v>30608197408</v>
      </c>
      <c r="C57" s="203">
        <f>+B55-B56-B57</f>
        <v>103830457577</v>
      </c>
      <c r="D57" s="202">
        <v>27083417697</v>
      </c>
      <c r="E57" s="203">
        <v>102896968415</v>
      </c>
      <c r="F57" s="118"/>
      <c r="G57" s="118">
        <f>+B57+B61+B64+B66+B69</f>
        <v>145301205157</v>
      </c>
      <c r="H57" s="181">
        <f>+B75+D75</f>
        <v>36822916</v>
      </c>
      <c r="I57" s="181">
        <f>+G57+H57</f>
        <v>145338028073</v>
      </c>
      <c r="J57" s="118">
        <f>+C57+B56</f>
        <v>106086468911</v>
      </c>
    </row>
    <row r="58" spans="1:7" ht="14.25">
      <c r="A58" s="116" t="s">
        <v>145</v>
      </c>
      <c r="B58" s="256">
        <f>부속tb!A41</f>
        <v>0</v>
      </c>
      <c r="C58" s="203" t="s">
        <v>1</v>
      </c>
      <c r="D58" s="256">
        <v>0</v>
      </c>
      <c r="E58" s="203" t="s">
        <v>1</v>
      </c>
      <c r="F58" s="118"/>
      <c r="G58" s="118">
        <f>+부속tb!D74</f>
        <v>145582807034</v>
      </c>
    </row>
    <row r="59" spans="1:7" ht="14.25">
      <c r="A59" s="116" t="s">
        <v>615</v>
      </c>
      <c r="B59" s="524">
        <v>0</v>
      </c>
      <c r="C59" s="203">
        <f>B58-B59</f>
        <v>0</v>
      </c>
      <c r="D59" s="257">
        <v>0</v>
      </c>
      <c r="E59" s="203">
        <v>0</v>
      </c>
      <c r="F59" s="118"/>
      <c r="G59" s="118">
        <f>+G57-G58</f>
        <v>-281601877</v>
      </c>
    </row>
    <row r="60" spans="1:7" ht="14.25">
      <c r="A60" s="116" t="s">
        <v>146</v>
      </c>
      <c r="B60" s="256">
        <f>부속tb!A42</f>
        <v>1955599236</v>
      </c>
      <c r="C60" s="203"/>
      <c r="D60" s="256">
        <v>1955599236</v>
      </c>
      <c r="E60" s="203"/>
      <c r="F60" s="118"/>
      <c r="G60" s="118"/>
    </row>
    <row r="61" spans="1:7" ht="15" thickBot="1">
      <c r="A61" s="258" t="s">
        <v>615</v>
      </c>
      <c r="B61" s="525">
        <v>1955057541</v>
      </c>
      <c r="C61" s="260">
        <f>B60-B61</f>
        <v>541695</v>
      </c>
      <c r="D61" s="259">
        <v>1954557849</v>
      </c>
      <c r="E61" s="260">
        <v>1041387</v>
      </c>
      <c r="F61" s="118"/>
      <c r="G61" s="118"/>
    </row>
    <row r="62" spans="1:8" ht="14.25">
      <c r="A62" s="116" t="s">
        <v>147</v>
      </c>
      <c r="B62" s="202">
        <f>부속tb!A43</f>
        <v>99763314631</v>
      </c>
      <c r="C62" s="203" t="s">
        <v>1</v>
      </c>
      <c r="D62" s="202">
        <v>93760089551</v>
      </c>
      <c r="E62" s="203" t="s">
        <v>1</v>
      </c>
      <c r="F62" s="118"/>
      <c r="G62" s="118">
        <v>81808729756</v>
      </c>
      <c r="H62" s="119">
        <v>8438334893</v>
      </c>
    </row>
    <row r="63" spans="1:8" ht="14.25">
      <c r="A63" s="254" t="s">
        <v>785</v>
      </c>
      <c r="B63" s="202">
        <f>+부속tb!E44</f>
        <v>390686806</v>
      </c>
      <c r="C63" s="203"/>
      <c r="D63" s="202">
        <v>898565492</v>
      </c>
      <c r="E63" s="203"/>
      <c r="F63" s="118"/>
      <c r="G63" s="118">
        <v>9386809957</v>
      </c>
      <c r="H63" s="119">
        <v>57000</v>
      </c>
    </row>
    <row r="64" spans="1:10" ht="14.25">
      <c r="A64" s="116" t="s">
        <v>615</v>
      </c>
      <c r="B64" s="521">
        <v>93882273340</v>
      </c>
      <c r="C64" s="203">
        <f>B62-B64-B63</f>
        <v>5490354485</v>
      </c>
      <c r="D64" s="202">
        <v>89247993455</v>
      </c>
      <c r="E64" s="203">
        <v>3613530604</v>
      </c>
      <c r="F64" s="118"/>
      <c r="G64" s="118">
        <f>+G62+G63</f>
        <v>91195539713</v>
      </c>
      <c r="H64" s="118">
        <f>+H62+H63</f>
        <v>8438391893</v>
      </c>
      <c r="J64" s="118">
        <f>+C64+B63-57000</f>
        <v>5880984291</v>
      </c>
    </row>
    <row r="65" spans="1:7" ht="14.25">
      <c r="A65" s="116" t="s">
        <v>148</v>
      </c>
      <c r="B65" s="256">
        <f>부속tb!A45</f>
        <v>741260074</v>
      </c>
      <c r="C65" s="203" t="s">
        <v>1</v>
      </c>
      <c r="D65" s="256">
        <v>729902154</v>
      </c>
      <c r="E65" s="203" t="s">
        <v>1</v>
      </c>
      <c r="F65" s="118"/>
      <c r="G65" s="118"/>
    </row>
    <row r="66" spans="1:10" ht="14.25">
      <c r="A66" s="116" t="s">
        <v>615</v>
      </c>
      <c r="B66" s="521">
        <f>671229170</f>
        <v>671229170</v>
      </c>
      <c r="C66" s="203">
        <f>B65-B66</f>
        <v>70030904</v>
      </c>
      <c r="D66" s="202">
        <v>635947360</v>
      </c>
      <c r="E66" s="203">
        <v>93954794</v>
      </c>
      <c r="F66" s="118"/>
      <c r="G66" s="118"/>
      <c r="J66" s="118"/>
    </row>
    <row r="67" spans="1:7" ht="14.25">
      <c r="A67" s="116" t="s">
        <v>149</v>
      </c>
      <c r="B67" s="256">
        <f>부속tb!A46</f>
        <v>19606621448</v>
      </c>
      <c r="C67" s="203" t="s">
        <v>1</v>
      </c>
      <c r="D67" s="256">
        <v>18633200274</v>
      </c>
      <c r="E67" s="203" t="s">
        <v>1</v>
      </c>
      <c r="F67" s="118"/>
      <c r="G67" s="118"/>
    </row>
    <row r="68" spans="1:7" ht="14.25">
      <c r="A68" s="254" t="s">
        <v>702</v>
      </c>
      <c r="B68" s="202">
        <f>+부속tb!E47</f>
        <v>12813270</v>
      </c>
      <c r="C68" s="203"/>
      <c r="D68" s="202">
        <v>27146749</v>
      </c>
      <c r="E68" s="203"/>
      <c r="F68" s="118"/>
      <c r="G68" s="118"/>
    </row>
    <row r="69" spans="1:10" ht="14.25">
      <c r="A69" s="116" t="s">
        <v>615</v>
      </c>
      <c r="B69" s="521">
        <v>18184447698</v>
      </c>
      <c r="C69" s="203">
        <f>B67-B69-B68</f>
        <v>1409360480</v>
      </c>
      <c r="D69" s="202">
        <v>17259798688</v>
      </c>
      <c r="E69" s="203">
        <v>1346254837</v>
      </c>
      <c r="F69" s="118"/>
      <c r="G69" s="118"/>
      <c r="H69" s="118"/>
      <c r="J69" s="118">
        <f>+C69+B68</f>
        <v>1422173750</v>
      </c>
    </row>
    <row r="70" spans="1:7" ht="14.25">
      <c r="A70" s="116" t="s">
        <v>150</v>
      </c>
      <c r="B70" s="256">
        <f>부속tb!A48</f>
        <v>0</v>
      </c>
      <c r="C70" s="203" t="s">
        <v>1</v>
      </c>
      <c r="D70" s="256">
        <v>0</v>
      </c>
      <c r="E70" s="203" t="s">
        <v>1</v>
      </c>
      <c r="F70" s="118"/>
      <c r="G70" s="118"/>
    </row>
    <row r="71" spans="1:7" ht="14.25">
      <c r="A71" s="116" t="s">
        <v>615</v>
      </c>
      <c r="B71" s="521">
        <v>0</v>
      </c>
      <c r="C71" s="203">
        <f>B70-B71</f>
        <v>0</v>
      </c>
      <c r="D71" s="202">
        <v>0</v>
      </c>
      <c r="E71" s="203">
        <v>0</v>
      </c>
      <c r="F71" s="118"/>
      <c r="G71" s="118"/>
    </row>
    <row r="72" spans="1:7" ht="14.25">
      <c r="A72" s="116" t="s">
        <v>151</v>
      </c>
      <c r="B72" s="136">
        <f>부속tb!A49</f>
        <v>473980000</v>
      </c>
      <c r="C72" s="136"/>
      <c r="D72" s="136">
        <v>3808833980</v>
      </c>
      <c r="E72" s="136"/>
      <c r="F72" s="118"/>
      <c r="G72" s="118"/>
    </row>
    <row r="73" spans="1:7" ht="14.25">
      <c r="A73" s="254"/>
      <c r="B73" s="521">
        <f>+부속tb!E50</f>
        <v>0</v>
      </c>
      <c r="C73" s="203">
        <f>+B72-B73</f>
        <v>473980000</v>
      </c>
      <c r="D73" s="202">
        <v>0</v>
      </c>
      <c r="E73" s="203">
        <v>3808833980</v>
      </c>
      <c r="F73" s="118"/>
      <c r="G73" s="118"/>
    </row>
    <row r="74" spans="1:7" ht="14.25">
      <c r="A74" s="116" t="s">
        <v>754</v>
      </c>
      <c r="B74" s="136">
        <f>부속tb!A50</f>
        <v>748348648</v>
      </c>
      <c r="C74" s="203"/>
      <c r="D74" s="202">
        <v>161875000</v>
      </c>
      <c r="E74" s="203"/>
      <c r="F74" s="118"/>
      <c r="G74" s="118"/>
    </row>
    <row r="75" spans="1:7" ht="14.25">
      <c r="A75" s="116"/>
      <c r="B75" s="521"/>
      <c r="C75" s="203">
        <f>+B74-B75</f>
        <v>748348648</v>
      </c>
      <c r="D75" s="202">
        <v>36822916</v>
      </c>
      <c r="E75" s="203">
        <v>125052084</v>
      </c>
      <c r="F75" s="118"/>
      <c r="G75" s="118"/>
    </row>
    <row r="76" spans="1:7" ht="14.25">
      <c r="A76" s="253" t="s">
        <v>152</v>
      </c>
      <c r="B76" s="117"/>
      <c r="C76" s="203">
        <f>C77+C78</f>
        <v>0</v>
      </c>
      <c r="D76" s="117"/>
      <c r="E76" s="203">
        <v>0</v>
      </c>
      <c r="F76" s="118"/>
      <c r="G76" s="118"/>
    </row>
    <row r="77" spans="1:7" ht="14.25">
      <c r="A77" s="116" t="s">
        <v>153</v>
      </c>
      <c r="B77" s="117"/>
      <c r="C77" s="136">
        <f>부속tb!A51</f>
        <v>0</v>
      </c>
      <c r="D77" s="117"/>
      <c r="E77" s="136">
        <v>0</v>
      </c>
      <c r="F77" s="118"/>
      <c r="G77" s="118"/>
    </row>
    <row r="78" spans="1:7" ht="14.25">
      <c r="A78" s="116" t="s">
        <v>154</v>
      </c>
      <c r="B78" s="117"/>
      <c r="C78" s="136">
        <f>부속tb!A52</f>
        <v>0</v>
      </c>
      <c r="D78" s="117"/>
      <c r="E78" s="136">
        <v>0</v>
      </c>
      <c r="F78" s="118"/>
      <c r="G78" s="118"/>
    </row>
    <row r="79" spans="1:8" ht="14.25">
      <c r="A79" s="253" t="s">
        <v>155</v>
      </c>
      <c r="B79" s="117"/>
      <c r="C79" s="261">
        <f>C76+C52+C41+C9</f>
        <v>357884803045</v>
      </c>
      <c r="D79" s="117"/>
      <c r="E79" s="261">
        <v>388379627627</v>
      </c>
      <c r="F79" s="118"/>
      <c r="G79" s="118">
        <v>269743452622</v>
      </c>
      <c r="H79" s="118"/>
    </row>
    <row r="80" spans="1:8" ht="14.25">
      <c r="A80" s="253" t="s">
        <v>156</v>
      </c>
      <c r="B80" s="117"/>
      <c r="C80" s="203"/>
      <c r="D80" s="117"/>
      <c r="E80" s="203"/>
      <c r="F80" s="118"/>
      <c r="G80" s="118">
        <f>+G79-C79</f>
        <v>-88141350423</v>
      </c>
      <c r="H80" s="119">
        <v>8000000000</v>
      </c>
    </row>
    <row r="81" spans="1:8" ht="14.25">
      <c r="A81" s="253" t="s">
        <v>157</v>
      </c>
      <c r="B81" s="117"/>
      <c r="C81" s="203">
        <f>C82+C87+C90</f>
        <v>32351238527</v>
      </c>
      <c r="D81" s="117"/>
      <c r="E81" s="203">
        <v>29707041286</v>
      </c>
      <c r="F81" s="118"/>
      <c r="G81" s="118"/>
      <c r="H81" s="118">
        <f>+H80+G80</f>
        <v>-80141350423</v>
      </c>
    </row>
    <row r="82" spans="1:7" ht="14.25">
      <c r="A82" s="116" t="s">
        <v>158</v>
      </c>
      <c r="B82" s="117"/>
      <c r="C82" s="203">
        <f>SUM(C83:C86)</f>
        <v>30191614056</v>
      </c>
      <c r="D82" s="117"/>
      <c r="E82" s="203">
        <v>27564237659</v>
      </c>
      <c r="F82" s="118"/>
      <c r="G82" s="118"/>
    </row>
    <row r="83" spans="1:7" ht="14.25">
      <c r="A83" s="116" t="s">
        <v>159</v>
      </c>
      <c r="B83" s="117"/>
      <c r="C83" s="136">
        <f>부속tb!E53</f>
        <v>10207890093</v>
      </c>
      <c r="D83" s="117"/>
      <c r="E83" s="136">
        <v>7617930892</v>
      </c>
      <c r="F83" s="118"/>
      <c r="G83" s="118"/>
    </row>
    <row r="84" spans="1:7" ht="14.25">
      <c r="A84" s="116" t="s">
        <v>160</v>
      </c>
      <c r="B84" s="255"/>
      <c r="C84" s="136">
        <f>부속tb!E54</f>
        <v>18367474500</v>
      </c>
      <c r="D84" s="255"/>
      <c r="E84" s="136">
        <v>18051348733</v>
      </c>
      <c r="F84" s="118"/>
      <c r="G84" s="118"/>
    </row>
    <row r="85" spans="1:7" ht="14.25">
      <c r="A85" s="116" t="s">
        <v>161</v>
      </c>
      <c r="B85" s="255"/>
      <c r="C85" s="136">
        <f>부속tb!E55</f>
        <v>1616249463</v>
      </c>
      <c r="D85" s="255"/>
      <c r="E85" s="136">
        <v>1894958034</v>
      </c>
      <c r="F85" s="118"/>
      <c r="G85" s="118"/>
    </row>
    <row r="86" spans="1:7" ht="14.25">
      <c r="A86" s="116" t="s">
        <v>162</v>
      </c>
      <c r="B86" s="117"/>
      <c r="C86" s="136">
        <f>부속tb!E56</f>
        <v>0</v>
      </c>
      <c r="D86" s="117"/>
      <c r="E86" s="136">
        <v>0</v>
      </c>
      <c r="F86" s="118"/>
      <c r="G86" s="118"/>
    </row>
    <row r="87" spans="1:7" ht="14.25">
      <c r="A87" s="116" t="s">
        <v>163</v>
      </c>
      <c r="B87" s="117"/>
      <c r="C87" s="203">
        <f>C88+C89</f>
        <v>0</v>
      </c>
      <c r="D87" s="117"/>
      <c r="E87" s="203">
        <v>0</v>
      </c>
      <c r="F87" s="118"/>
      <c r="G87" s="118"/>
    </row>
    <row r="88" spans="1:7" ht="14.25">
      <c r="A88" s="116" t="s">
        <v>164</v>
      </c>
      <c r="B88" s="117"/>
      <c r="C88" s="136">
        <v>0</v>
      </c>
      <c r="D88" s="117"/>
      <c r="E88" s="136">
        <v>0</v>
      </c>
      <c r="F88" s="118"/>
      <c r="G88" s="118"/>
    </row>
    <row r="89" spans="1:7" ht="14.25">
      <c r="A89" s="116" t="s">
        <v>165</v>
      </c>
      <c r="B89" s="117"/>
      <c r="C89" s="136">
        <v>0</v>
      </c>
      <c r="D89" s="117"/>
      <c r="E89" s="136">
        <v>0</v>
      </c>
      <c r="F89" s="118"/>
      <c r="G89" s="118"/>
    </row>
    <row r="90" spans="1:7" ht="14.25">
      <c r="A90" s="116" t="s">
        <v>166</v>
      </c>
      <c r="B90" s="117"/>
      <c r="C90" s="203">
        <f>SUM(C91:C95)</f>
        <v>2159624471</v>
      </c>
      <c r="D90" s="117"/>
      <c r="E90" s="203">
        <v>2142803627</v>
      </c>
      <c r="F90" s="118"/>
      <c r="G90" s="118"/>
    </row>
    <row r="91" spans="1:8" ht="14.25">
      <c r="A91" s="116" t="s">
        <v>167</v>
      </c>
      <c r="B91" s="117"/>
      <c r="C91" s="136">
        <f>부속tb!E60</f>
        <v>475058276</v>
      </c>
      <c r="D91" s="117"/>
      <c r="E91" s="136">
        <v>417763616</v>
      </c>
      <c r="F91" s="118"/>
      <c r="G91" s="118" t="s">
        <v>504</v>
      </c>
      <c r="H91" s="184">
        <v>3005000000</v>
      </c>
    </row>
    <row r="92" spans="1:8" ht="14.25">
      <c r="A92" s="116" t="s">
        <v>168</v>
      </c>
      <c r="B92" s="117"/>
      <c r="C92" s="136">
        <f>부속tb!E61</f>
        <v>763663955</v>
      </c>
      <c r="D92" s="117"/>
      <c r="E92" s="136">
        <v>687383248</v>
      </c>
      <c r="F92" s="118"/>
      <c r="G92" s="118" t="s">
        <v>505</v>
      </c>
      <c r="H92" s="184">
        <f>C91-H91</f>
        <v>-2529941724</v>
      </c>
    </row>
    <row r="93" spans="1:7" ht="14.25">
      <c r="A93" s="116" t="s">
        <v>699</v>
      </c>
      <c r="B93" s="117"/>
      <c r="C93" s="136">
        <f>부속tb!E62</f>
        <v>0</v>
      </c>
      <c r="D93" s="117"/>
      <c r="E93" s="136">
        <v>0</v>
      </c>
      <c r="F93" s="118"/>
      <c r="G93" s="118"/>
    </row>
    <row r="94" spans="1:7" ht="14.25">
      <c r="A94" s="116" t="s">
        <v>169</v>
      </c>
      <c r="B94" s="117"/>
      <c r="C94" s="136">
        <v>0</v>
      </c>
      <c r="D94" s="117"/>
      <c r="E94" s="136">
        <v>0</v>
      </c>
      <c r="F94" s="118"/>
      <c r="G94" s="118"/>
    </row>
    <row r="95" spans="1:7" ht="14.25">
      <c r="A95" s="116" t="s">
        <v>700</v>
      </c>
      <c r="B95" s="117"/>
      <c r="C95" s="136">
        <f>부속tb!E63</f>
        <v>920902240</v>
      </c>
      <c r="D95" s="117"/>
      <c r="E95" s="136">
        <v>1037656763</v>
      </c>
      <c r="F95" s="118"/>
      <c r="G95" s="118"/>
    </row>
    <row r="96" spans="1:7" ht="14.25">
      <c r="A96" s="253" t="s">
        <v>170</v>
      </c>
      <c r="B96" s="117"/>
      <c r="C96" s="203">
        <f>C97+C102</f>
        <v>3295157757</v>
      </c>
      <c r="D96" s="117"/>
      <c r="E96" s="203">
        <v>3310787810</v>
      </c>
      <c r="F96" s="118"/>
      <c r="G96" s="118"/>
    </row>
    <row r="97" spans="1:7" ht="14.25">
      <c r="A97" s="116" t="s">
        <v>171</v>
      </c>
      <c r="B97" s="117"/>
      <c r="C97" s="203">
        <f>SUM(C98:C101)</f>
        <v>3113000000</v>
      </c>
      <c r="D97" s="117"/>
      <c r="E97" s="203">
        <v>3113000000</v>
      </c>
      <c r="F97" s="118"/>
      <c r="G97" s="118"/>
    </row>
    <row r="98" spans="1:7" ht="14.25">
      <c r="A98" s="116" t="s">
        <v>172</v>
      </c>
      <c r="B98" s="117"/>
      <c r="C98" s="136">
        <f>부속tb!E70</f>
        <v>0</v>
      </c>
      <c r="D98" s="117"/>
      <c r="E98" s="136">
        <v>0</v>
      </c>
      <c r="F98" s="118"/>
      <c r="G98" s="118"/>
    </row>
    <row r="99" spans="1:7" ht="14.25">
      <c r="A99" s="116" t="s">
        <v>269</v>
      </c>
      <c r="B99" s="117"/>
      <c r="C99" s="136">
        <f>부속tb!E73</f>
        <v>0</v>
      </c>
      <c r="D99" s="117"/>
      <c r="E99" s="136">
        <v>0</v>
      </c>
      <c r="F99" s="118"/>
      <c r="G99" s="118"/>
    </row>
    <row r="100" spans="1:7" ht="14.25">
      <c r="A100" s="116" t="s">
        <v>173</v>
      </c>
      <c r="B100" s="117"/>
      <c r="C100" s="136">
        <f>부속tb!E65</f>
        <v>3113000000</v>
      </c>
      <c r="D100" s="117"/>
      <c r="E100" s="136">
        <v>3113000000</v>
      </c>
      <c r="F100" s="118"/>
      <c r="G100" s="118"/>
    </row>
    <row r="101" spans="1:7" ht="14.25">
      <c r="A101" s="116" t="s">
        <v>174</v>
      </c>
      <c r="B101" s="117"/>
      <c r="C101" s="136">
        <f>부속tb!E72</f>
        <v>0</v>
      </c>
      <c r="D101" s="117"/>
      <c r="E101" s="136">
        <v>0</v>
      </c>
      <c r="F101" s="118"/>
      <c r="G101" s="118"/>
    </row>
    <row r="102" spans="1:7" ht="14.25">
      <c r="A102" s="116" t="s">
        <v>175</v>
      </c>
      <c r="B102" s="117"/>
      <c r="C102" s="203">
        <f>B103-B104-B105</f>
        <v>182157757</v>
      </c>
      <c r="D102" s="117"/>
      <c r="E102" s="203">
        <v>197787810</v>
      </c>
      <c r="F102" s="118"/>
      <c r="G102" s="118"/>
    </row>
    <row r="103" spans="1:7" ht="14.25">
      <c r="A103" s="116" t="s">
        <v>176</v>
      </c>
      <c r="B103" s="202">
        <f>부속tb!E75+부속tb!E76</f>
        <v>367764800</v>
      </c>
      <c r="C103" s="203"/>
      <c r="D103" s="202">
        <v>509929380</v>
      </c>
      <c r="E103" s="203"/>
      <c r="F103" s="118"/>
      <c r="G103" s="118"/>
    </row>
    <row r="104" spans="1:8" ht="14.25">
      <c r="A104" s="116" t="s">
        <v>716</v>
      </c>
      <c r="B104" s="202">
        <f>부속tb!A26</f>
        <v>161564392</v>
      </c>
      <c r="C104" s="203"/>
      <c r="D104" s="202">
        <v>288465412</v>
      </c>
      <c r="E104" s="203"/>
      <c r="F104" s="118"/>
      <c r="G104" s="118"/>
      <c r="H104" s="119">
        <v>54092117126</v>
      </c>
    </row>
    <row r="105" spans="1:7" ht="14.25">
      <c r="A105" s="116" t="s">
        <v>237</v>
      </c>
      <c r="B105" s="202">
        <f>+부속tb!E76</f>
        <v>24042651</v>
      </c>
      <c r="C105" s="136"/>
      <c r="D105" s="202">
        <v>23676158</v>
      </c>
      <c r="E105" s="136"/>
      <c r="F105" s="118"/>
      <c r="G105" s="118"/>
    </row>
    <row r="106" spans="1:7" ht="14.25">
      <c r="A106" s="253" t="s">
        <v>177</v>
      </c>
      <c r="B106" s="262"/>
      <c r="C106" s="263">
        <f>SUM(C107:C109)</f>
        <v>365302833068</v>
      </c>
      <c r="D106" s="262"/>
      <c r="E106" s="263">
        <v>338526094790</v>
      </c>
      <c r="F106" s="118"/>
      <c r="G106" s="118"/>
    </row>
    <row r="107" spans="1:7" ht="14.25">
      <c r="A107" s="116" t="s">
        <v>663</v>
      </c>
      <c r="B107" s="262"/>
      <c r="C107" s="264">
        <f>부속tb!E77</f>
        <v>72017299979</v>
      </c>
      <c r="D107" s="262"/>
      <c r="E107" s="264">
        <v>72603073104</v>
      </c>
      <c r="F107" s="118"/>
      <c r="G107" s="118"/>
    </row>
    <row r="108" spans="1:7" ht="14.25">
      <c r="A108" s="116" t="s">
        <v>661</v>
      </c>
      <c r="B108" s="262"/>
      <c r="C108" s="264">
        <f>부속tb!E78</f>
        <v>293285533089</v>
      </c>
      <c r="D108" s="262"/>
      <c r="E108" s="264">
        <v>265923021686</v>
      </c>
      <c r="F108" s="118"/>
      <c r="G108" s="118"/>
    </row>
    <row r="109" spans="1:7" ht="14.25">
      <c r="A109" s="116" t="s">
        <v>662</v>
      </c>
      <c r="B109" s="117"/>
      <c r="C109" s="136">
        <f>부속tb!E79</f>
        <v>0</v>
      </c>
      <c r="D109" s="117"/>
      <c r="E109" s="136">
        <v>0</v>
      </c>
      <c r="F109" s="118"/>
      <c r="G109" s="118"/>
    </row>
    <row r="110" spans="1:7" ht="14.25">
      <c r="A110" s="253" t="s">
        <v>178</v>
      </c>
      <c r="B110" s="117"/>
      <c r="C110" s="261">
        <f>C106+C96+C81</f>
        <v>400949229352</v>
      </c>
      <c r="D110" s="117"/>
      <c r="E110" s="261">
        <v>371543923886</v>
      </c>
      <c r="F110" s="118"/>
      <c r="G110" s="118">
        <v>105751271116</v>
      </c>
    </row>
    <row r="111" spans="1:7" ht="14.25">
      <c r="A111" s="253" t="s">
        <v>179</v>
      </c>
      <c r="B111" s="117"/>
      <c r="C111" s="203"/>
      <c r="D111" s="117"/>
      <c r="E111" s="203"/>
      <c r="F111" s="118"/>
      <c r="G111" s="118">
        <f>E112-C112</f>
        <v>58425639289</v>
      </c>
    </row>
    <row r="112" spans="1:7" ht="14.25">
      <c r="A112" s="253" t="s">
        <v>180</v>
      </c>
      <c r="B112" s="117"/>
      <c r="C112" s="203">
        <f>SUM(C113:C114)</f>
        <v>-26472186294</v>
      </c>
      <c r="D112" s="117"/>
      <c r="E112" s="203">
        <v>31953452995</v>
      </c>
      <c r="F112" s="118"/>
      <c r="G112" s="118"/>
    </row>
    <row r="113" spans="1:7" ht="14.25">
      <c r="A113" s="116" t="s">
        <v>751</v>
      </c>
      <c r="B113" s="117"/>
      <c r="C113" s="203">
        <f>+부속tb!E80</f>
        <v>-26472186294</v>
      </c>
      <c r="D113" s="117"/>
      <c r="E113" s="203">
        <v>31953452995</v>
      </c>
      <c r="F113" s="118"/>
      <c r="G113" s="118">
        <v>-26472186294</v>
      </c>
    </row>
    <row r="114" spans="1:7" ht="14.25">
      <c r="A114" s="116" t="s">
        <v>750</v>
      </c>
      <c r="B114" s="117"/>
      <c r="C114" s="203">
        <v>0</v>
      </c>
      <c r="D114" s="117"/>
      <c r="E114" s="203">
        <v>0</v>
      </c>
      <c r="F114" s="118"/>
      <c r="G114" s="118"/>
    </row>
    <row r="115" spans="1:7" ht="14.25">
      <c r="A115" s="253" t="s">
        <v>733</v>
      </c>
      <c r="B115" s="117"/>
      <c r="C115" s="203">
        <f>SUM(C116:C117)</f>
        <v>-3322728447</v>
      </c>
      <c r="D115" s="117"/>
      <c r="E115" s="203">
        <v>-3885600000</v>
      </c>
      <c r="F115" s="118"/>
      <c r="G115" s="118"/>
    </row>
    <row r="116" spans="1:8" ht="14.25">
      <c r="A116" s="116" t="s">
        <v>734</v>
      </c>
      <c r="B116" s="117"/>
      <c r="C116" s="136">
        <f>+(ocs합잔!D38-부속bs!B43+ocs합잔!D39-부속bs!C46)*-1</f>
        <v>-3322728447</v>
      </c>
      <c r="D116" s="117"/>
      <c r="E116" s="136">
        <v>-3885600000</v>
      </c>
      <c r="F116" s="118"/>
      <c r="G116" s="118"/>
      <c r="H116" s="118">
        <f>+E116-C116</f>
        <v>-562871553</v>
      </c>
    </row>
    <row r="117" spans="1:7" ht="14.25">
      <c r="A117" s="116"/>
      <c r="B117" s="117"/>
      <c r="C117" s="136"/>
      <c r="D117" s="117"/>
      <c r="E117" s="136"/>
      <c r="F117" s="118"/>
      <c r="G117" s="118"/>
    </row>
    <row r="118" spans="1:7" ht="14.25">
      <c r="A118" s="253" t="s">
        <v>181</v>
      </c>
      <c r="B118" s="117"/>
      <c r="C118" s="203">
        <f>SUM(B119:B120)</f>
        <v>-13269511566</v>
      </c>
      <c r="D118" s="117"/>
      <c r="E118" s="203">
        <v>-11232149254</v>
      </c>
      <c r="F118" s="118"/>
      <c r="G118" s="118">
        <v>2852145238</v>
      </c>
    </row>
    <row r="119" spans="1:7" ht="14.25">
      <c r="A119" s="265" t="s">
        <v>182</v>
      </c>
      <c r="B119" s="266">
        <f>+E118</f>
        <v>-11232149254</v>
      </c>
      <c r="C119" s="203"/>
      <c r="D119" s="266">
        <v>-5876555881</v>
      </c>
      <c r="E119" s="203"/>
      <c r="F119" s="118"/>
      <c r="G119" s="118">
        <v>-5600026334</v>
      </c>
    </row>
    <row r="120" spans="1:9" ht="14.25">
      <c r="A120" s="116" t="s">
        <v>183</v>
      </c>
      <c r="B120" s="267">
        <f>부속is!C124</f>
        <v>-2037362312</v>
      </c>
      <c r="C120" s="203"/>
      <c r="D120" s="267">
        <v>-5355593373</v>
      </c>
      <c r="E120" s="203"/>
      <c r="F120" s="118"/>
      <c r="G120" s="118">
        <f>+D120+G118</f>
        <v>-2503448135</v>
      </c>
      <c r="I120" s="183">
        <v>51373695333</v>
      </c>
    </row>
    <row r="121" spans="1:9" ht="14.25">
      <c r="A121" s="253" t="s">
        <v>184</v>
      </c>
      <c r="B121" s="117"/>
      <c r="C121" s="261">
        <f>C118+C115+C112</f>
        <v>-43064426307</v>
      </c>
      <c r="D121" s="117"/>
      <c r="E121" s="261">
        <v>16835703741</v>
      </c>
      <c r="F121" s="118"/>
      <c r="G121" s="118"/>
      <c r="I121" s="183">
        <f>+I120-B120</f>
        <v>53411057645</v>
      </c>
    </row>
    <row r="122" spans="1:7" ht="15" thickBot="1">
      <c r="A122" s="268" t="s">
        <v>185</v>
      </c>
      <c r="B122" s="269"/>
      <c r="C122" s="270">
        <f>+C110+C121</f>
        <v>357884803045</v>
      </c>
      <c r="D122" s="269"/>
      <c r="E122" s="270">
        <v>388379627627</v>
      </c>
      <c r="F122" s="118"/>
      <c r="G122" s="118">
        <v>5876555881</v>
      </c>
    </row>
    <row r="123" spans="1:5" ht="14.25">
      <c r="A123" s="271"/>
      <c r="B123" s="179"/>
      <c r="C123" s="179"/>
      <c r="D123" s="179"/>
      <c r="E123" s="179"/>
    </row>
    <row r="124" spans="3:7" ht="14.25">
      <c r="C124" s="183">
        <f>C122-C79</f>
        <v>0</v>
      </c>
      <c r="D124" s="183"/>
      <c r="E124" s="183">
        <f>E122-E79</f>
        <v>0</v>
      </c>
      <c r="F124" s="183"/>
      <c r="G124" s="183"/>
    </row>
    <row r="125" spans="2:7" ht="14.25">
      <c r="B125" s="272"/>
      <c r="C125" s="183"/>
      <c r="D125" s="183"/>
      <c r="E125" s="183"/>
      <c r="F125" s="183"/>
      <c r="G125" s="183"/>
    </row>
    <row r="126" spans="2:7" ht="14.25">
      <c r="B126" s="184"/>
      <c r="C126" s="37">
        <f>+사학bs!D113</f>
        <v>357884803045</v>
      </c>
      <c r="D126" s="184"/>
      <c r="E126" s="183">
        <f>+사학bs!F113</f>
        <v>388379627627</v>
      </c>
      <c r="F126" s="183"/>
      <c r="G126" s="183"/>
    </row>
    <row r="127" spans="3:7" ht="14.25">
      <c r="C127" s="183"/>
      <c r="E127" s="183">
        <f>+E126-E122</f>
        <v>0</v>
      </c>
      <c r="F127" s="183"/>
      <c r="G127" s="183"/>
    </row>
    <row r="128" spans="2:7" ht="14.25">
      <c r="B128" s="247"/>
      <c r="C128" s="183">
        <f>+C122-C126</f>
        <v>0</v>
      </c>
      <c r="D128" s="247" t="s">
        <v>714</v>
      </c>
      <c r="E128" s="183">
        <f>+B105</f>
        <v>24042651</v>
      </c>
      <c r="F128" s="183"/>
      <c r="G128" s="183"/>
    </row>
    <row r="129" spans="2:8" ht="14.25">
      <c r="B129" s="247"/>
      <c r="C129" s="183"/>
      <c r="D129" s="247" t="s">
        <v>709</v>
      </c>
      <c r="E129" s="183">
        <f>+C42</f>
        <v>5433753208</v>
      </c>
      <c r="F129" s="183"/>
      <c r="G129" s="183"/>
      <c r="H129" s="183">
        <v>361379886626</v>
      </c>
    </row>
    <row r="130" spans="3:9" ht="14.25">
      <c r="C130" s="183"/>
      <c r="E130" s="183">
        <f>+E129+E128</f>
        <v>5457795859</v>
      </c>
      <c r="F130" s="183"/>
      <c r="G130" s="183"/>
      <c r="H130" s="183">
        <f>+H129-C122</f>
        <v>3495083581</v>
      </c>
      <c r="I130" s="118">
        <f>+H129-C79</f>
        <v>3495083581</v>
      </c>
    </row>
    <row r="131" spans="3:8" ht="14.25">
      <c r="C131" s="183">
        <f>+사학bs!D67</f>
        <v>357884803045</v>
      </c>
      <c r="E131" s="183"/>
      <c r="F131" s="183"/>
      <c r="G131" s="183"/>
      <c r="H131" s="183"/>
    </row>
    <row r="132" spans="3:8" ht="14.25">
      <c r="C132" s="183"/>
      <c r="E132" s="183"/>
      <c r="F132" s="183"/>
      <c r="G132" s="183"/>
      <c r="H132" s="183">
        <v>51375935139</v>
      </c>
    </row>
    <row r="133" spans="3:8" ht="14.25">
      <c r="C133" s="183">
        <f>+C122-C131</f>
        <v>0</v>
      </c>
      <c r="E133" s="183"/>
      <c r="F133" s="183"/>
      <c r="G133" s="183"/>
      <c r="H133" s="183">
        <f>+H132-B120</f>
        <v>53413297451</v>
      </c>
    </row>
    <row r="134" spans="3:7" ht="14.25">
      <c r="C134" s="183"/>
      <c r="E134" s="183">
        <f>+E9-E81</f>
        <v>187681455908</v>
      </c>
      <c r="F134" s="183"/>
      <c r="G134" s="183"/>
    </row>
    <row r="135" spans="3:8" ht="14.25">
      <c r="C135" s="432">
        <f>+C126-C131</f>
        <v>0</v>
      </c>
      <c r="H135" s="183">
        <f>+H133+C124</f>
        <v>53413297451</v>
      </c>
    </row>
    <row r="137" ht="14.25">
      <c r="C137" s="183"/>
    </row>
  </sheetData>
  <sheetProtection/>
  <printOptions horizontalCentered="1"/>
  <pageMargins left="0.2" right="0.2" top="0.984251968503937" bottom="0.7874015748031497" header="0.5118110236220472" footer="0.5118110236220472"/>
  <pageSetup fitToHeight="2" fitToWidth="2" horizontalDpi="300" verticalDpi="300" orientation="portrait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9"/>
  <sheetViews>
    <sheetView showGridLines="0" zoomScalePageLayoutView="0" workbookViewId="0" topLeftCell="A97">
      <selection activeCell="C118" sqref="C118"/>
    </sheetView>
  </sheetViews>
  <sheetFormatPr defaultColWidth="10.625" defaultRowHeight="14.25"/>
  <cols>
    <col min="1" max="1" width="28.50390625" style="124" customWidth="1"/>
    <col min="2" max="5" width="19.75390625" style="124" customWidth="1"/>
    <col min="6" max="6" width="6.75390625" style="124" customWidth="1"/>
    <col min="7" max="7" width="22.50390625" style="211" customWidth="1"/>
    <col min="8" max="16384" width="10.625" style="124" customWidth="1"/>
  </cols>
  <sheetData>
    <row r="1" spans="1:5" ht="31.5">
      <c r="A1" s="209" t="s">
        <v>265</v>
      </c>
      <c r="B1" s="210"/>
      <c r="C1" s="210"/>
      <c r="D1" s="210"/>
      <c r="E1" s="210"/>
    </row>
    <row r="2" spans="1:5" ht="14.25">
      <c r="A2" s="212" t="s">
        <v>1532</v>
      </c>
      <c r="B2" s="212"/>
      <c r="C2" s="212"/>
      <c r="D2" s="212"/>
      <c r="E2" s="212"/>
    </row>
    <row r="3" spans="1:5" ht="14.25">
      <c r="A3" s="212" t="s">
        <v>844</v>
      </c>
      <c r="B3" s="212"/>
      <c r="C3" s="212"/>
      <c r="D3" s="212"/>
      <c r="E3" s="212"/>
    </row>
    <row r="5" spans="1:5" ht="15" thickBot="1">
      <c r="A5" s="124" t="s">
        <v>268</v>
      </c>
      <c r="E5" s="213" t="s">
        <v>238</v>
      </c>
    </row>
    <row r="6" spans="1:5" ht="14.25">
      <c r="A6" s="214" t="s">
        <v>114</v>
      </c>
      <c r="B6" s="215" t="s">
        <v>1527</v>
      </c>
      <c r="C6" s="216"/>
      <c r="D6" s="215" t="s">
        <v>1526</v>
      </c>
      <c r="E6" s="217"/>
    </row>
    <row r="7" spans="1:5" ht="14.25">
      <c r="A7" s="218" t="s">
        <v>186</v>
      </c>
      <c r="B7" s="219"/>
      <c r="C7" s="220">
        <f>SUM(C8:C11)</f>
        <v>199330181181</v>
      </c>
      <c r="D7" s="219"/>
      <c r="E7" s="220">
        <v>192227990126</v>
      </c>
    </row>
    <row r="8" spans="1:5" ht="14.25">
      <c r="A8" s="221" t="s">
        <v>187</v>
      </c>
      <c r="B8" s="219"/>
      <c r="C8" s="222">
        <f>B8</f>
        <v>0</v>
      </c>
      <c r="D8" s="219"/>
      <c r="E8" s="222">
        <v>0</v>
      </c>
    </row>
    <row r="9" spans="1:5" ht="14.25">
      <c r="A9" s="221" t="s">
        <v>188</v>
      </c>
      <c r="B9" s="223"/>
      <c r="C9" s="222">
        <f>부속tb!E85+부속tb!E86+부속tb!E87-부속tb!A92</f>
        <v>199330181181</v>
      </c>
      <c r="D9" s="223"/>
      <c r="E9" s="222">
        <v>192227990126</v>
      </c>
    </row>
    <row r="10" spans="1:5" ht="14.25">
      <c r="A10" s="221" t="s">
        <v>236</v>
      </c>
      <c r="B10" s="223"/>
      <c r="C10" s="222">
        <v>0</v>
      </c>
      <c r="D10" s="223"/>
      <c r="E10" s="222">
        <v>0</v>
      </c>
    </row>
    <row r="11" spans="1:5" ht="14.25">
      <c r="A11" s="221" t="s">
        <v>264</v>
      </c>
      <c r="B11" s="223"/>
      <c r="C11" s="222">
        <v>0</v>
      </c>
      <c r="D11" s="223"/>
      <c r="E11" s="222">
        <v>0</v>
      </c>
    </row>
    <row r="12" spans="1:5" ht="14.25">
      <c r="A12" s="224" t="s">
        <v>189</v>
      </c>
      <c r="B12" s="219"/>
      <c r="C12" s="225">
        <f>C13+C17</f>
        <v>148597106035</v>
      </c>
      <c r="D12" s="219"/>
      <c r="E12" s="225">
        <v>140731102466</v>
      </c>
    </row>
    <row r="13" spans="1:5" ht="14.25">
      <c r="A13" s="226" t="s">
        <v>190</v>
      </c>
      <c r="B13" s="219"/>
      <c r="C13" s="225">
        <f>B14+B15-B16</f>
        <v>0</v>
      </c>
      <c r="D13" s="219"/>
      <c r="E13" s="225">
        <v>0</v>
      </c>
    </row>
    <row r="14" spans="1:5" ht="14.25">
      <c r="A14" s="227" t="s">
        <v>191</v>
      </c>
      <c r="B14" s="228"/>
      <c r="C14" s="222"/>
      <c r="D14" s="228"/>
      <c r="E14" s="222"/>
    </row>
    <row r="15" spans="1:5" ht="14.25">
      <c r="A15" s="227" t="s">
        <v>192</v>
      </c>
      <c r="B15" s="228"/>
      <c r="C15" s="222"/>
      <c r="D15" s="228"/>
      <c r="E15" s="222"/>
    </row>
    <row r="16" spans="1:5" ht="14.25">
      <c r="A16" s="227" t="s">
        <v>193</v>
      </c>
      <c r="B16" s="228"/>
      <c r="C16" s="222"/>
      <c r="D16" s="228"/>
      <c r="E16" s="222"/>
    </row>
    <row r="17" spans="1:7" ht="14.25">
      <c r="A17" s="226" t="s">
        <v>194</v>
      </c>
      <c r="B17" s="219"/>
      <c r="C17" s="225">
        <f>B18+B22+B26+SUM(B30:B53)</f>
        <v>148597106035</v>
      </c>
      <c r="D17" s="219"/>
      <c r="E17" s="225">
        <v>140731102466</v>
      </c>
      <c r="G17" s="211">
        <f>+B18+B22+B26+B30</f>
        <v>59064976773</v>
      </c>
    </row>
    <row r="18" spans="1:7" ht="14.25">
      <c r="A18" s="227" t="s">
        <v>195</v>
      </c>
      <c r="B18" s="219">
        <f>부속tb!A93</f>
        <v>29350591329</v>
      </c>
      <c r="C18" s="225"/>
      <c r="D18" s="219">
        <v>27857916105</v>
      </c>
      <c r="E18" s="225"/>
      <c r="G18" s="211">
        <v>134571688370</v>
      </c>
    </row>
    <row r="19" spans="1:7" ht="14.25">
      <c r="A19" s="227" t="s">
        <v>196</v>
      </c>
      <c r="B19" s="228">
        <f>D21</f>
        <v>449409519</v>
      </c>
      <c r="C19" s="225"/>
      <c r="D19" s="228">
        <v>379372352</v>
      </c>
      <c r="E19" s="225"/>
      <c r="G19" s="211">
        <f>+G18-C17</f>
        <v>-14025417665</v>
      </c>
    </row>
    <row r="20" spans="1:5" ht="14.25">
      <c r="A20" s="227" t="s">
        <v>197</v>
      </c>
      <c r="B20" s="228">
        <f>B18+B21-B19</f>
        <v>29336359390</v>
      </c>
      <c r="C20" s="225"/>
      <c r="D20" s="228">
        <v>27927953272</v>
      </c>
      <c r="E20" s="225"/>
    </row>
    <row r="21" spans="1:5" ht="14.25">
      <c r="A21" s="227" t="s">
        <v>198</v>
      </c>
      <c r="B21" s="228">
        <f>부속tb!A18</f>
        <v>435177580</v>
      </c>
      <c r="C21" s="225"/>
      <c r="D21" s="228">
        <v>449409519</v>
      </c>
      <c r="E21" s="225"/>
    </row>
    <row r="22" spans="1:5" ht="14.25">
      <c r="A22" s="227" t="s">
        <v>199</v>
      </c>
      <c r="B22" s="219">
        <f>부속tb!A94+부속tb!A95</f>
        <v>28486306917</v>
      </c>
      <c r="C22" s="225"/>
      <c r="D22" s="219">
        <v>27835661394</v>
      </c>
      <c r="E22" s="225"/>
    </row>
    <row r="23" spans="1:5" ht="14.25">
      <c r="A23" s="227" t="s">
        <v>200</v>
      </c>
      <c r="B23" s="228">
        <f>D25</f>
        <v>32786654</v>
      </c>
      <c r="C23" s="225"/>
      <c r="D23" s="228">
        <v>26623692</v>
      </c>
      <c r="E23" s="225"/>
    </row>
    <row r="24" spans="1:5" ht="14.25">
      <c r="A24" s="227" t="s">
        <v>201</v>
      </c>
      <c r="B24" s="228">
        <f>B22+B25-B23</f>
        <v>28486713753</v>
      </c>
      <c r="C24" s="225"/>
      <c r="D24" s="228">
        <v>27841824356</v>
      </c>
      <c r="E24" s="225"/>
    </row>
    <row r="25" spans="1:5" ht="14.25">
      <c r="A25" s="227" t="s">
        <v>202</v>
      </c>
      <c r="B25" s="228">
        <f>부속tb!A19+부속tb!A20</f>
        <v>33193490</v>
      </c>
      <c r="C25" s="225"/>
      <c r="D25" s="228">
        <v>32786654</v>
      </c>
      <c r="E25" s="225"/>
    </row>
    <row r="26" spans="1:7" ht="14.25">
      <c r="A26" s="227" t="s">
        <v>203</v>
      </c>
      <c r="B26" s="229"/>
      <c r="C26" s="225"/>
      <c r="D26" s="229"/>
      <c r="E26" s="225"/>
      <c r="G26" s="211">
        <v>8249417722</v>
      </c>
    </row>
    <row r="27" spans="1:7" ht="14.25">
      <c r="A27" s="227" t="s">
        <v>204</v>
      </c>
      <c r="B27" s="228">
        <f>D29</f>
        <v>2980000</v>
      </c>
      <c r="C27" s="225"/>
      <c r="D27" s="228">
        <v>0</v>
      </c>
      <c r="E27" s="225"/>
      <c r="G27" s="211">
        <v>2194957</v>
      </c>
    </row>
    <row r="28" spans="1:7" ht="14.25">
      <c r="A28" s="227" t="s">
        <v>205</v>
      </c>
      <c r="B28" s="228">
        <f>B26-B27+B29</f>
        <v>2905400</v>
      </c>
      <c r="C28" s="225"/>
      <c r="D28" s="228">
        <v>2980000</v>
      </c>
      <c r="E28" s="225"/>
      <c r="G28" s="211">
        <v>8250042993</v>
      </c>
    </row>
    <row r="29" spans="1:7" ht="14.25">
      <c r="A29" s="227" t="s">
        <v>206</v>
      </c>
      <c r="B29" s="228">
        <f>부속tb!A20</f>
        <v>5885400</v>
      </c>
      <c r="C29" s="225"/>
      <c r="D29" s="228">
        <v>2980000</v>
      </c>
      <c r="E29" s="225"/>
      <c r="G29" s="211">
        <v>2820228</v>
      </c>
    </row>
    <row r="30" spans="1:5" ht="14.25">
      <c r="A30" s="227" t="s">
        <v>207</v>
      </c>
      <c r="B30" s="228">
        <f>부속tb!A96</f>
        <v>1228078527</v>
      </c>
      <c r="C30" s="225"/>
      <c r="D30" s="228">
        <v>1285501676</v>
      </c>
      <c r="E30" s="225"/>
    </row>
    <row r="31" spans="1:5" ht="14.25">
      <c r="A31" s="227" t="s">
        <v>260</v>
      </c>
      <c r="B31" s="228">
        <f>부속tb!A97</f>
        <v>0</v>
      </c>
      <c r="C31" s="225"/>
      <c r="D31" s="228">
        <v>0</v>
      </c>
      <c r="E31" s="225"/>
    </row>
    <row r="32" spans="1:5" ht="14.25">
      <c r="A32" s="227" t="s">
        <v>261</v>
      </c>
      <c r="B32" s="228">
        <f>부속tb!A98</f>
        <v>58554986425</v>
      </c>
      <c r="C32" s="225"/>
      <c r="D32" s="228">
        <v>48551599679</v>
      </c>
      <c r="E32" s="225"/>
    </row>
    <row r="33" spans="1:5" ht="14.25">
      <c r="A33" s="227" t="s">
        <v>819</v>
      </c>
      <c r="B33" s="228">
        <f>+부속tb!A99</f>
        <v>0</v>
      </c>
      <c r="C33" s="225"/>
      <c r="D33" s="228">
        <v>6684405120</v>
      </c>
      <c r="E33" s="225"/>
    </row>
    <row r="34" spans="1:5" ht="14.25">
      <c r="A34" s="227" t="s">
        <v>820</v>
      </c>
      <c r="B34" s="228">
        <f>부속tb!A101</f>
        <v>0</v>
      </c>
      <c r="C34" s="225"/>
      <c r="D34" s="228">
        <v>0</v>
      </c>
      <c r="E34" s="225"/>
    </row>
    <row r="35" spans="1:5" ht="14.25">
      <c r="A35" s="227" t="s">
        <v>821</v>
      </c>
      <c r="B35" s="228">
        <f>부속tb!A100</f>
        <v>0</v>
      </c>
      <c r="C35" s="225"/>
      <c r="D35" s="228">
        <v>0</v>
      </c>
      <c r="E35" s="225"/>
    </row>
    <row r="36" spans="1:5" ht="14.25">
      <c r="A36" s="227" t="s">
        <v>822</v>
      </c>
      <c r="B36" s="228">
        <f>부속tb!A104</f>
        <v>5036738844</v>
      </c>
      <c r="C36" s="225"/>
      <c r="D36" s="228">
        <v>4645950532</v>
      </c>
      <c r="E36" s="225"/>
    </row>
    <row r="37" spans="1:5" ht="14.25">
      <c r="A37" s="227" t="s">
        <v>823</v>
      </c>
      <c r="B37" s="228">
        <f>부속tb!A102</f>
        <v>0</v>
      </c>
      <c r="C37" s="225"/>
      <c r="D37" s="228">
        <v>0</v>
      </c>
      <c r="E37" s="225"/>
    </row>
    <row r="38" spans="1:5" ht="14.25">
      <c r="A38" s="227" t="s">
        <v>824</v>
      </c>
      <c r="B38" s="228">
        <f>부속tb!A103</f>
        <v>0</v>
      </c>
      <c r="C38" s="225"/>
      <c r="D38" s="228">
        <v>0</v>
      </c>
      <c r="E38" s="225"/>
    </row>
    <row r="39" spans="1:5" ht="14.25">
      <c r="A39" s="227" t="s">
        <v>825</v>
      </c>
      <c r="B39" s="228">
        <f>부속tb!A105</f>
        <v>351358431</v>
      </c>
      <c r="C39" s="230"/>
      <c r="D39" s="228">
        <v>311948251</v>
      </c>
      <c r="E39" s="225"/>
    </row>
    <row r="40" spans="1:5" ht="14.25">
      <c r="A40" s="227" t="s">
        <v>826</v>
      </c>
      <c r="B40" s="228">
        <f>부속tb!A106</f>
        <v>32322534</v>
      </c>
      <c r="C40" s="230"/>
      <c r="D40" s="228">
        <v>16531447</v>
      </c>
      <c r="E40" s="225"/>
    </row>
    <row r="41" spans="1:5" ht="14.25">
      <c r="A41" s="227" t="s">
        <v>827</v>
      </c>
      <c r="B41" s="228">
        <f>부속tb!A107</f>
        <v>3141819139</v>
      </c>
      <c r="C41" s="230"/>
      <c r="D41" s="228">
        <v>3213932805</v>
      </c>
      <c r="E41" s="225"/>
    </row>
    <row r="42" spans="1:5" ht="14.25">
      <c r="A42" s="227" t="s">
        <v>828</v>
      </c>
      <c r="B42" s="228">
        <f>부속tb!A108</f>
        <v>0</v>
      </c>
      <c r="C42" s="230"/>
      <c r="D42" s="228">
        <v>0</v>
      </c>
      <c r="E42" s="225"/>
    </row>
    <row r="43" spans="1:5" ht="14.25">
      <c r="A43" s="227" t="s">
        <v>829</v>
      </c>
      <c r="B43" s="228">
        <f>부속tb!A109</f>
        <v>254653317</v>
      </c>
      <c r="C43" s="230"/>
      <c r="D43" s="228">
        <v>232793136</v>
      </c>
      <c r="E43" s="225"/>
    </row>
    <row r="44" spans="1:5" ht="14.25">
      <c r="A44" s="227" t="s">
        <v>830</v>
      </c>
      <c r="B44" s="228">
        <f>부속tb!A110</f>
        <v>0</v>
      </c>
      <c r="C44" s="230"/>
      <c r="D44" s="228">
        <v>0</v>
      </c>
      <c r="E44" s="225"/>
    </row>
    <row r="45" spans="1:5" ht="14.25">
      <c r="A45" s="227" t="s">
        <v>831</v>
      </c>
      <c r="B45" s="228">
        <f>부속tb!A111</f>
        <v>200921564</v>
      </c>
      <c r="C45" s="230"/>
      <c r="D45" s="228">
        <v>199959724</v>
      </c>
      <c r="E45" s="225"/>
    </row>
    <row r="46" spans="1:7" ht="14.25">
      <c r="A46" s="227" t="s">
        <v>832</v>
      </c>
      <c r="B46" s="228">
        <f>부속tb!A112</f>
        <v>8772644042</v>
      </c>
      <c r="C46" s="230"/>
      <c r="D46" s="228">
        <v>8271626535</v>
      </c>
      <c r="E46" s="225"/>
      <c r="F46" s="231"/>
      <c r="G46" s="211">
        <f>2753423372+40325066</f>
        <v>2793748438</v>
      </c>
    </row>
    <row r="47" spans="1:5" ht="14.25">
      <c r="A47" s="227" t="s">
        <v>833</v>
      </c>
      <c r="B47" s="228">
        <f>부속tb!A113</f>
        <v>0</v>
      </c>
      <c r="C47" s="230"/>
      <c r="D47" s="228">
        <v>0</v>
      </c>
      <c r="E47" s="225"/>
    </row>
    <row r="48" spans="1:5" ht="14.25">
      <c r="A48" s="227" t="s">
        <v>834</v>
      </c>
      <c r="B48" s="228">
        <f>부속tb!A114</f>
        <v>1347231572</v>
      </c>
      <c r="C48" s="230"/>
      <c r="D48" s="228">
        <v>853947032</v>
      </c>
      <c r="E48" s="225"/>
    </row>
    <row r="49" spans="1:5" ht="14.25">
      <c r="A49" s="227" t="s">
        <v>835</v>
      </c>
      <c r="B49" s="228">
        <f>부속tb!A115</f>
        <v>8656295315</v>
      </c>
      <c r="C49" s="230"/>
      <c r="D49" s="228">
        <v>8139061100</v>
      </c>
      <c r="E49" s="225"/>
    </row>
    <row r="50" spans="1:5" ht="14.25">
      <c r="A50" s="227" t="s">
        <v>836</v>
      </c>
      <c r="B50" s="228">
        <f>부속tb!A116</f>
        <v>3102411920</v>
      </c>
      <c r="C50" s="232"/>
      <c r="D50" s="228">
        <v>2611352353</v>
      </c>
      <c r="E50" s="233"/>
    </row>
    <row r="51" spans="1:5" ht="14.25">
      <c r="A51" s="227" t="s">
        <v>837</v>
      </c>
      <c r="B51" s="228">
        <f>부속tb!A117</f>
        <v>0</v>
      </c>
      <c r="C51" s="230"/>
      <c r="D51" s="228">
        <v>0</v>
      </c>
      <c r="E51" s="225"/>
    </row>
    <row r="52" spans="1:5" ht="14.25">
      <c r="A52" s="227" t="s">
        <v>838</v>
      </c>
      <c r="B52" s="228">
        <f>부속tb!A118</f>
        <v>80746159</v>
      </c>
      <c r="C52" s="230"/>
      <c r="D52" s="228">
        <v>18915577</v>
      </c>
      <c r="E52" s="225"/>
    </row>
    <row r="53" spans="1:5" ht="14.25">
      <c r="A53" s="227"/>
      <c r="B53" s="228">
        <v>0</v>
      </c>
      <c r="C53" s="230"/>
      <c r="D53" s="228">
        <v>0</v>
      </c>
      <c r="E53" s="225"/>
    </row>
    <row r="54" spans="1:5" ht="14.25">
      <c r="A54" s="224" t="s">
        <v>208</v>
      </c>
      <c r="B54" s="219"/>
      <c r="C54" s="230">
        <f>C7-C17</f>
        <v>50733075146</v>
      </c>
      <c r="D54" s="219"/>
      <c r="E54" s="225">
        <v>51496887660</v>
      </c>
    </row>
    <row r="55" spans="1:7" ht="14.25">
      <c r="A55" s="224" t="s">
        <v>209</v>
      </c>
      <c r="B55" s="219"/>
      <c r="C55" s="230">
        <f>SUM(B56:B84)</f>
        <v>9999470686</v>
      </c>
      <c r="D55" s="219"/>
      <c r="E55" s="225">
        <v>9605831070</v>
      </c>
      <c r="G55" s="211">
        <v>8144193021</v>
      </c>
    </row>
    <row r="56" spans="1:7" ht="14.25">
      <c r="A56" s="227" t="s">
        <v>242</v>
      </c>
      <c r="B56" s="228">
        <f>부속tb!A120</f>
        <v>4099651600</v>
      </c>
      <c r="C56" s="230"/>
      <c r="D56" s="228">
        <v>3813064072</v>
      </c>
      <c r="E56" s="225"/>
      <c r="G56" s="211">
        <f>+G55-C55</f>
        <v>-1855277665</v>
      </c>
    </row>
    <row r="57" spans="1:5" ht="14.25">
      <c r="A57" s="227" t="s">
        <v>266</v>
      </c>
      <c r="B57" s="228">
        <f>부속tb!A122</f>
        <v>475024507</v>
      </c>
      <c r="C57" s="230"/>
      <c r="D57" s="228">
        <v>435340141</v>
      </c>
      <c r="E57" s="225"/>
    </row>
    <row r="58" spans="1:5" ht="14.25">
      <c r="A58" s="227" t="s">
        <v>243</v>
      </c>
      <c r="B58" s="228">
        <f>부속tb!A121</f>
        <v>132150</v>
      </c>
      <c r="C58" s="230"/>
      <c r="D58" s="228">
        <v>29020000</v>
      </c>
      <c r="E58" s="225"/>
    </row>
    <row r="59" spans="1:5" ht="14.25">
      <c r="A59" s="227" t="s">
        <v>244</v>
      </c>
      <c r="B59" s="228">
        <f>부속tb!A125</f>
        <v>1215191786</v>
      </c>
      <c r="C59" s="230"/>
      <c r="D59" s="228">
        <v>1133230845</v>
      </c>
      <c r="E59" s="225"/>
    </row>
    <row r="60" spans="1:5" ht="14.25">
      <c r="A60" s="227" t="s">
        <v>210</v>
      </c>
      <c r="B60" s="228">
        <f>부속tb!A123</f>
        <v>366493</v>
      </c>
      <c r="C60" s="230"/>
      <c r="D60" s="228">
        <v>302095</v>
      </c>
      <c r="E60" s="225"/>
    </row>
    <row r="61" spans="1:5" ht="14.25">
      <c r="A61" s="227" t="s">
        <v>211</v>
      </c>
      <c r="B61" s="228">
        <f>부속tb!A124</f>
        <v>0</v>
      </c>
      <c r="C61" s="230"/>
      <c r="D61" s="228">
        <v>0</v>
      </c>
      <c r="E61" s="225"/>
    </row>
    <row r="62" spans="1:5" ht="15" thickBot="1">
      <c r="A62" s="234" t="s">
        <v>241</v>
      </c>
      <c r="B62" s="235">
        <f>부속tb!A126</f>
        <v>266203390</v>
      </c>
      <c r="C62" s="236"/>
      <c r="D62" s="235">
        <v>302040890</v>
      </c>
      <c r="E62" s="237"/>
    </row>
    <row r="63" spans="1:5" ht="14.25">
      <c r="A63" s="227" t="s">
        <v>240</v>
      </c>
      <c r="B63" s="228">
        <f>부속tb!A127</f>
        <v>25746420</v>
      </c>
      <c r="C63" s="230"/>
      <c r="D63" s="228">
        <v>31528601</v>
      </c>
      <c r="E63" s="225"/>
    </row>
    <row r="64" spans="1:5" ht="14.25">
      <c r="A64" s="227" t="s">
        <v>239</v>
      </c>
      <c r="B64" s="228">
        <f>부속tb!A128</f>
        <v>183485010</v>
      </c>
      <c r="C64" s="230"/>
      <c r="D64" s="228">
        <v>187953265</v>
      </c>
      <c r="E64" s="225"/>
    </row>
    <row r="65" spans="1:5" ht="14.25">
      <c r="A65" s="227" t="s">
        <v>259</v>
      </c>
      <c r="B65" s="228">
        <f>부속tb!A129</f>
        <v>0</v>
      </c>
      <c r="C65" s="230"/>
      <c r="D65" s="228">
        <v>0</v>
      </c>
      <c r="E65" s="225"/>
    </row>
    <row r="66" spans="1:5" ht="14.25">
      <c r="A66" s="227" t="s">
        <v>245</v>
      </c>
      <c r="B66" s="228">
        <f>부속tb!A130</f>
        <v>1388886076</v>
      </c>
      <c r="C66" s="230"/>
      <c r="D66" s="228">
        <v>1326182080</v>
      </c>
      <c r="E66" s="225"/>
    </row>
    <row r="67" spans="1:5" ht="14.25">
      <c r="A67" s="227" t="s">
        <v>246</v>
      </c>
      <c r="B67" s="228">
        <f>부속tb!A131</f>
        <v>163074154</v>
      </c>
      <c r="C67" s="230"/>
      <c r="D67" s="228">
        <v>126911190</v>
      </c>
      <c r="E67" s="225"/>
    </row>
    <row r="68" spans="1:5" ht="14.25">
      <c r="A68" s="227" t="s">
        <v>247</v>
      </c>
      <c r="B68" s="228">
        <f>부속tb!A133</f>
        <v>49209705</v>
      </c>
      <c r="C68" s="230"/>
      <c r="D68" s="228">
        <v>26023307</v>
      </c>
      <c r="E68" s="225"/>
    </row>
    <row r="69" spans="1:5" ht="14.25">
      <c r="A69" s="227" t="s">
        <v>248</v>
      </c>
      <c r="B69" s="228">
        <f>부속tb!A134</f>
        <v>144823154</v>
      </c>
      <c r="C69" s="230"/>
      <c r="D69" s="228">
        <v>109584292</v>
      </c>
      <c r="E69" s="225"/>
    </row>
    <row r="70" spans="1:5" ht="14.25">
      <c r="A70" s="227" t="s">
        <v>249</v>
      </c>
      <c r="B70" s="228">
        <f>부속tb!A135</f>
        <v>41723600</v>
      </c>
      <c r="C70" s="230"/>
      <c r="D70" s="228">
        <v>31863090</v>
      </c>
      <c r="E70" s="225"/>
    </row>
    <row r="71" spans="1:5" ht="14.25">
      <c r="A71" s="227" t="s">
        <v>250</v>
      </c>
      <c r="B71" s="228">
        <f>부속tb!A136</f>
        <v>1355285082</v>
      </c>
      <c r="C71" s="230"/>
      <c r="D71" s="228">
        <v>1492340980</v>
      </c>
      <c r="E71" s="225"/>
    </row>
    <row r="72" spans="1:5" ht="14.25">
      <c r="A72" s="227" t="s">
        <v>251</v>
      </c>
      <c r="B72" s="228">
        <f>부속tb!A139</f>
        <v>54728194</v>
      </c>
      <c r="C72" s="230"/>
      <c r="D72" s="228">
        <v>63991845</v>
      </c>
      <c r="E72" s="225"/>
    </row>
    <row r="73" spans="1:5" ht="14.25">
      <c r="A73" s="227" t="s">
        <v>252</v>
      </c>
      <c r="B73" s="228">
        <f>부속tb!A140</f>
        <v>15023400</v>
      </c>
      <c r="C73" s="230"/>
      <c r="D73" s="228">
        <v>6904350</v>
      </c>
      <c r="E73" s="225"/>
    </row>
    <row r="74" spans="1:5" ht="14.25">
      <c r="A74" s="227" t="s">
        <v>253</v>
      </c>
      <c r="B74" s="228">
        <f>부속tb!A141</f>
        <v>0</v>
      </c>
      <c r="C74" s="230"/>
      <c r="D74" s="228">
        <v>0</v>
      </c>
      <c r="E74" s="225"/>
    </row>
    <row r="75" spans="1:5" ht="14.25">
      <c r="A75" s="227" t="s">
        <v>254</v>
      </c>
      <c r="B75" s="228">
        <f>부속tb!A142</f>
        <v>0</v>
      </c>
      <c r="C75" s="230"/>
      <c r="D75" s="228">
        <v>0</v>
      </c>
      <c r="E75" s="225"/>
    </row>
    <row r="76" spans="1:5" ht="14.25">
      <c r="A76" s="227" t="s">
        <v>255</v>
      </c>
      <c r="B76" s="228">
        <f>부속tb!A143</f>
        <v>61491526</v>
      </c>
      <c r="C76" s="230"/>
      <c r="D76" s="228">
        <v>57633590</v>
      </c>
      <c r="E76" s="225"/>
    </row>
    <row r="77" spans="1:5" ht="14.25">
      <c r="A77" s="227" t="s">
        <v>256</v>
      </c>
      <c r="B77" s="228">
        <f>부속tb!A144</f>
        <v>371908763</v>
      </c>
      <c r="C77" s="230"/>
      <c r="D77" s="228">
        <v>270739230</v>
      </c>
      <c r="E77" s="225"/>
    </row>
    <row r="78" spans="1:5" ht="14.25">
      <c r="A78" s="227" t="s">
        <v>257</v>
      </c>
      <c r="B78" s="228">
        <f>부속tb!A145</f>
        <v>49716546</v>
      </c>
      <c r="C78" s="230"/>
      <c r="D78" s="228">
        <v>159883354</v>
      </c>
      <c r="E78" s="225"/>
    </row>
    <row r="79" spans="1:5" ht="14.25">
      <c r="A79" s="227" t="s">
        <v>782</v>
      </c>
      <c r="B79" s="228">
        <f>+부속tb!A146</f>
        <v>36560640</v>
      </c>
      <c r="C79" s="230"/>
      <c r="D79" s="228">
        <v>617468</v>
      </c>
      <c r="E79" s="225"/>
    </row>
    <row r="80" spans="1:5" ht="14.25">
      <c r="A80" s="227" t="s">
        <v>258</v>
      </c>
      <c r="B80" s="228">
        <f>부속tb!A147</f>
        <v>1238490</v>
      </c>
      <c r="C80" s="230"/>
      <c r="D80" s="228">
        <v>676385</v>
      </c>
      <c r="E80" s="225"/>
    </row>
    <row r="81" spans="1:5" ht="14.25">
      <c r="A81" s="227" t="s">
        <v>212</v>
      </c>
      <c r="B81" s="228">
        <v>0</v>
      </c>
      <c r="C81" s="230"/>
      <c r="D81" s="228">
        <v>0</v>
      </c>
      <c r="E81" s="225"/>
    </row>
    <row r="82" spans="1:5" ht="14.25">
      <c r="A82" s="227" t="s">
        <v>213</v>
      </c>
      <c r="B82" s="228">
        <v>0</v>
      </c>
      <c r="C82" s="230"/>
      <c r="D82" s="228">
        <v>0</v>
      </c>
      <c r="E82" s="225"/>
    </row>
    <row r="83" spans="1:5" ht="14.25">
      <c r="A83" s="227" t="s">
        <v>214</v>
      </c>
      <c r="B83" s="228">
        <v>0</v>
      </c>
      <c r="C83" s="230"/>
      <c r="D83" s="228">
        <v>0</v>
      </c>
      <c r="E83" s="225"/>
    </row>
    <row r="84" spans="1:5" ht="14.25">
      <c r="A84" s="227" t="s">
        <v>215</v>
      </c>
      <c r="B84" s="228">
        <v>0</v>
      </c>
      <c r="C84" s="230"/>
      <c r="D84" s="228">
        <v>0</v>
      </c>
      <c r="E84" s="225"/>
    </row>
    <row r="85" spans="1:5" ht="14.25">
      <c r="A85" s="224" t="s">
        <v>786</v>
      </c>
      <c r="B85" s="219"/>
      <c r="C85" s="230">
        <f>C54-C55</f>
        <v>40733604460</v>
      </c>
      <c r="D85" s="219"/>
      <c r="E85" s="225">
        <v>41891056590</v>
      </c>
    </row>
    <row r="86" spans="1:5" ht="14.25">
      <c r="A86" s="224" t="s">
        <v>787</v>
      </c>
      <c r="B86" s="219"/>
      <c r="C86" s="230">
        <f>SUM(B87:B100)</f>
        <v>11368674764</v>
      </c>
      <c r="D86" s="219"/>
      <c r="E86" s="225">
        <v>10556943072</v>
      </c>
    </row>
    <row r="87" spans="1:5" ht="14.25">
      <c r="A87" s="227" t="s">
        <v>789</v>
      </c>
      <c r="B87" s="228">
        <f>부속tb!E148</f>
        <v>3028808092</v>
      </c>
      <c r="C87" s="230"/>
      <c r="D87" s="228">
        <v>2438262799</v>
      </c>
      <c r="E87" s="225"/>
    </row>
    <row r="88" spans="1:5" ht="14.25">
      <c r="A88" s="227" t="s">
        <v>267</v>
      </c>
      <c r="B88" s="228">
        <f>부속tb!E149</f>
        <v>0</v>
      </c>
      <c r="C88" s="230"/>
      <c r="D88" s="228">
        <v>0</v>
      </c>
      <c r="E88" s="225"/>
    </row>
    <row r="89" spans="1:5" ht="14.25">
      <c r="A89" s="227" t="s">
        <v>216</v>
      </c>
      <c r="B89" s="228">
        <f>부속tb!E150</f>
        <v>0</v>
      </c>
      <c r="C89" s="230"/>
      <c r="D89" s="228">
        <v>0</v>
      </c>
      <c r="E89" s="225"/>
    </row>
    <row r="90" spans="1:5" ht="14.25">
      <c r="A90" s="227" t="s">
        <v>790</v>
      </c>
      <c r="B90" s="228">
        <f>+부속tb!E173</f>
        <v>63189792</v>
      </c>
      <c r="C90" s="230"/>
      <c r="D90" s="228">
        <v>354447000</v>
      </c>
      <c r="E90" s="225"/>
    </row>
    <row r="91" spans="1:5" ht="14.25">
      <c r="A91" s="227" t="s">
        <v>217</v>
      </c>
      <c r="B91" s="228">
        <v>0</v>
      </c>
      <c r="C91" s="230"/>
      <c r="D91" s="228">
        <v>0</v>
      </c>
      <c r="E91" s="225"/>
    </row>
    <row r="92" spans="1:5" ht="14.25">
      <c r="A92" s="227" t="s">
        <v>218</v>
      </c>
      <c r="B92" s="228">
        <f>부속tb!E152</f>
        <v>0</v>
      </c>
      <c r="C92" s="230"/>
      <c r="D92" s="228">
        <v>0</v>
      </c>
      <c r="E92" s="225"/>
    </row>
    <row r="93" spans="1:5" ht="14.25">
      <c r="A93" s="227" t="s">
        <v>262</v>
      </c>
      <c r="B93" s="228">
        <f>부속tb!E153</f>
        <v>0</v>
      </c>
      <c r="C93" s="230"/>
      <c r="D93" s="228">
        <v>0</v>
      </c>
      <c r="E93" s="225"/>
    </row>
    <row r="94" spans="1:5" ht="14.25">
      <c r="A94" s="227" t="s">
        <v>664</v>
      </c>
      <c r="B94" s="228">
        <f>부속tb!E154</f>
        <v>2239663279</v>
      </c>
      <c r="C94" s="230"/>
      <c r="D94" s="228">
        <v>2629398187</v>
      </c>
      <c r="E94" s="225"/>
    </row>
    <row r="95" spans="1:5" ht="14.25">
      <c r="A95" s="227" t="s">
        <v>784</v>
      </c>
      <c r="B95" s="228">
        <v>0</v>
      </c>
      <c r="C95" s="230"/>
      <c r="D95" s="228">
        <v>0</v>
      </c>
      <c r="E95" s="225"/>
    </row>
    <row r="96" spans="1:5" ht="14.25">
      <c r="A96" s="227" t="s">
        <v>665</v>
      </c>
      <c r="B96" s="228">
        <f>부속tb!E157</f>
        <v>1611140464</v>
      </c>
      <c r="C96" s="230"/>
      <c r="D96" s="228">
        <v>1605431452</v>
      </c>
      <c r="E96" s="225"/>
    </row>
    <row r="97" spans="1:5" ht="14.25">
      <c r="A97" s="227" t="s">
        <v>738</v>
      </c>
      <c r="B97" s="228">
        <f>부속tb!E160</f>
        <v>983313027</v>
      </c>
      <c r="C97" s="230"/>
      <c r="D97" s="228">
        <v>845194411</v>
      </c>
      <c r="E97" s="225"/>
    </row>
    <row r="98" spans="1:5" ht="14.25">
      <c r="A98" s="227" t="s">
        <v>739</v>
      </c>
      <c r="B98" s="228">
        <v>0</v>
      </c>
      <c r="C98" s="230"/>
      <c r="D98" s="228">
        <v>0</v>
      </c>
      <c r="E98" s="225"/>
    </row>
    <row r="99" spans="1:5" ht="14.25">
      <c r="A99" s="227" t="s">
        <v>666</v>
      </c>
      <c r="B99" s="228">
        <f>부속tb!E159</f>
        <v>1374718488</v>
      </c>
      <c r="C99" s="230"/>
      <c r="D99" s="228">
        <v>1591335898</v>
      </c>
      <c r="E99" s="225"/>
    </row>
    <row r="100" spans="1:5" ht="14.25">
      <c r="A100" s="227" t="s">
        <v>667</v>
      </c>
      <c r="B100" s="228">
        <f>부속tb!E156</f>
        <v>2067841622</v>
      </c>
      <c r="C100" s="230"/>
      <c r="D100" s="228">
        <v>1092873325</v>
      </c>
      <c r="E100" s="225"/>
    </row>
    <row r="101" spans="1:5" ht="14.25">
      <c r="A101" s="224" t="s">
        <v>788</v>
      </c>
      <c r="B101" s="219"/>
      <c r="C101" s="230">
        <f>SUM(B102:B112)</f>
        <v>54139641536</v>
      </c>
      <c r="D101" s="219"/>
      <c r="E101" s="225">
        <v>57803195535</v>
      </c>
    </row>
    <row r="102" spans="1:5" ht="14.25">
      <c r="A102" s="227" t="s">
        <v>219</v>
      </c>
      <c r="B102" s="228">
        <f>부속tb!A161</f>
        <v>0</v>
      </c>
      <c r="C102" s="230"/>
      <c r="D102" s="228">
        <v>0</v>
      </c>
      <c r="E102" s="225"/>
    </row>
    <row r="103" spans="1:5" ht="14.25">
      <c r="A103" s="227" t="s">
        <v>220</v>
      </c>
      <c r="B103" s="228">
        <f>부속tb!A162</f>
        <v>0</v>
      </c>
      <c r="C103" s="230"/>
      <c r="D103" s="228">
        <v>0</v>
      </c>
      <c r="E103" s="225"/>
    </row>
    <row r="104" spans="1:5" ht="14.25">
      <c r="A104" s="227" t="s">
        <v>263</v>
      </c>
      <c r="B104" s="228">
        <f>부속tb!A163</f>
        <v>0</v>
      </c>
      <c r="C104" s="230"/>
      <c r="D104" s="228">
        <v>0</v>
      </c>
      <c r="E104" s="225"/>
    </row>
    <row r="105" spans="1:5" ht="14.25">
      <c r="A105" s="227" t="s">
        <v>221</v>
      </c>
      <c r="B105" s="228">
        <f>부속tb!A164</f>
        <v>0</v>
      </c>
      <c r="C105" s="230"/>
      <c r="D105" s="228">
        <v>0</v>
      </c>
      <c r="E105" s="225"/>
    </row>
    <row r="106" spans="1:5" ht="14.25">
      <c r="A106" s="227" t="s">
        <v>222</v>
      </c>
      <c r="B106" s="228">
        <f>부속tb!A165</f>
        <v>0</v>
      </c>
      <c r="C106" s="230"/>
      <c r="D106" s="228">
        <v>0</v>
      </c>
      <c r="E106" s="225"/>
    </row>
    <row r="107" spans="1:5" ht="14.25">
      <c r="A107" s="227" t="s">
        <v>223</v>
      </c>
      <c r="B107" s="228">
        <f>부속tb!A166</f>
        <v>0</v>
      </c>
      <c r="C107" s="230"/>
      <c r="D107" s="228">
        <v>0</v>
      </c>
      <c r="E107" s="225"/>
    </row>
    <row r="108" spans="1:5" ht="14.25">
      <c r="A108" s="227" t="s">
        <v>783</v>
      </c>
      <c r="B108" s="228">
        <f>+부속tb!A119</f>
        <v>968504810</v>
      </c>
      <c r="C108" s="230"/>
      <c r="D108" s="228">
        <v>865789476</v>
      </c>
      <c r="E108" s="225"/>
    </row>
    <row r="109" spans="1:5" ht="14.25">
      <c r="A109" s="227" t="s">
        <v>224</v>
      </c>
      <c r="B109" s="228">
        <f>부속tb!A171</f>
        <v>52928882894</v>
      </c>
      <c r="C109" s="230"/>
      <c r="D109" s="228">
        <v>54289148999</v>
      </c>
      <c r="E109" s="225"/>
    </row>
    <row r="110" spans="1:5" ht="14.25">
      <c r="A110" s="227" t="s">
        <v>672</v>
      </c>
      <c r="B110" s="228">
        <f>+부속tb!B168</f>
        <v>0</v>
      </c>
      <c r="C110" s="230"/>
      <c r="D110" s="228">
        <v>0</v>
      </c>
      <c r="E110" s="225"/>
    </row>
    <row r="111" spans="1:5" ht="14.25">
      <c r="A111" s="227" t="s">
        <v>225</v>
      </c>
      <c r="B111" s="228">
        <v>0</v>
      </c>
      <c r="C111" s="230"/>
      <c r="D111" s="228">
        <v>0</v>
      </c>
      <c r="E111" s="225"/>
    </row>
    <row r="112" spans="1:5" ht="14.25">
      <c r="A112" s="455" t="s">
        <v>226</v>
      </c>
      <c r="B112" s="228">
        <f>부속tb!A172</f>
        <v>242253832</v>
      </c>
      <c r="C112" s="230"/>
      <c r="D112" s="228">
        <v>2648257060</v>
      </c>
      <c r="E112" s="225"/>
    </row>
    <row r="113" spans="1:5" ht="14.25">
      <c r="A113" s="224" t="s">
        <v>227</v>
      </c>
      <c r="B113" s="219"/>
      <c r="C113" s="238">
        <f>C85+C86-C101</f>
        <v>-2037362312</v>
      </c>
      <c r="D113" s="219"/>
      <c r="E113" s="238">
        <v>-5355195873</v>
      </c>
    </row>
    <row r="114" spans="1:5" ht="14.25">
      <c r="A114" s="224" t="s">
        <v>228</v>
      </c>
      <c r="B114" s="219"/>
      <c r="C114" s="230">
        <f>SUM(B115:B117)</f>
        <v>0</v>
      </c>
      <c r="D114" s="219"/>
      <c r="E114" s="225">
        <v>0</v>
      </c>
    </row>
    <row r="115" spans="1:5" ht="14.25">
      <c r="A115" s="227" t="s">
        <v>229</v>
      </c>
      <c r="B115" s="228">
        <v>0</v>
      </c>
      <c r="C115" s="230"/>
      <c r="D115" s="228">
        <v>0</v>
      </c>
      <c r="E115" s="225"/>
    </row>
    <row r="116" spans="1:5" ht="14.25">
      <c r="A116" s="227" t="s">
        <v>230</v>
      </c>
      <c r="B116" s="228">
        <v>0</v>
      </c>
      <c r="C116" s="230"/>
      <c r="D116" s="228">
        <v>0</v>
      </c>
      <c r="E116" s="225"/>
    </row>
    <row r="117" spans="1:5" ht="14.25">
      <c r="A117" s="227" t="s">
        <v>706</v>
      </c>
      <c r="B117" s="228">
        <f>+'시산표(현금유출입)'!F175</f>
        <v>0</v>
      </c>
      <c r="C117" s="230"/>
      <c r="D117" s="228">
        <v>0</v>
      </c>
      <c r="E117" s="225"/>
    </row>
    <row r="118" spans="1:5" ht="14.25">
      <c r="A118" s="224" t="s">
        <v>231</v>
      </c>
      <c r="B118" s="219"/>
      <c r="C118" s="230">
        <f>SUM(B119:B121)</f>
        <v>0</v>
      </c>
      <c r="D118" s="219"/>
      <c r="E118" s="225">
        <v>700000</v>
      </c>
    </row>
    <row r="119" spans="1:5" ht="14.25">
      <c r="A119" s="227" t="s">
        <v>232</v>
      </c>
      <c r="B119" s="228">
        <f>부속tb!A174</f>
        <v>0</v>
      </c>
      <c r="C119" s="230">
        <v>0</v>
      </c>
      <c r="D119" s="228">
        <v>0</v>
      </c>
      <c r="E119" s="225">
        <v>0</v>
      </c>
    </row>
    <row r="120" spans="1:5" ht="14.25">
      <c r="A120" s="227" t="s">
        <v>800</v>
      </c>
      <c r="B120" s="228">
        <f>+부속tb!B169</f>
        <v>0</v>
      </c>
      <c r="C120" s="230">
        <v>0</v>
      </c>
      <c r="D120" s="228">
        <v>700000</v>
      </c>
      <c r="E120" s="225">
        <v>0</v>
      </c>
    </row>
    <row r="121" spans="1:5" ht="14.25">
      <c r="A121" s="227" t="s">
        <v>812</v>
      </c>
      <c r="B121" s="228">
        <f>+부속tb!B176</f>
        <v>0</v>
      </c>
      <c r="C121" s="230"/>
      <c r="D121" s="228">
        <v>0</v>
      </c>
      <c r="E121" s="225"/>
    </row>
    <row r="122" spans="1:5" ht="14.25">
      <c r="A122" s="224" t="s">
        <v>233</v>
      </c>
      <c r="B122" s="219"/>
      <c r="C122" s="238">
        <f>C113+C114-C118</f>
        <v>-2037362312</v>
      </c>
      <c r="D122" s="219"/>
      <c r="E122" s="238">
        <v>-5355895873</v>
      </c>
    </row>
    <row r="123" spans="1:5" ht="14.25">
      <c r="A123" s="224" t="s">
        <v>234</v>
      </c>
      <c r="B123" s="219"/>
      <c r="C123" s="222">
        <v>0</v>
      </c>
      <c r="D123" s="219"/>
      <c r="E123" s="222">
        <v>-302500</v>
      </c>
    </row>
    <row r="124" spans="1:5" ht="15" thickBot="1">
      <c r="A124" s="239" t="s">
        <v>235</v>
      </c>
      <c r="B124" s="240"/>
      <c r="C124" s="241">
        <f>C122-C123</f>
        <v>-2037362312</v>
      </c>
      <c r="D124" s="240"/>
      <c r="E124" s="241">
        <v>-5355593373</v>
      </c>
    </row>
    <row r="125" ht="14.25">
      <c r="C125" s="242"/>
    </row>
    <row r="126" ht="14.25">
      <c r="C126" s="231"/>
    </row>
    <row r="127" spans="3:5" ht="14.25">
      <c r="C127" s="231">
        <f>+부속bs!B120-부속is!C124</f>
        <v>0</v>
      </c>
      <c r="E127" s="231">
        <f>+부속bs!D120-부속is!E124</f>
        <v>0</v>
      </c>
    </row>
    <row r="129" spans="3:5" ht="14.25">
      <c r="C129" s="231"/>
      <c r="E129" s="124">
        <v>0</v>
      </c>
    </row>
  </sheetData>
  <sheetProtection/>
  <printOptions horizontalCentered="1"/>
  <pageMargins left="0.2" right="0.2" top="0.42" bottom="0.3937007874015748" header="0.5118110236220472" footer="0.511811023622047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6"/>
  <sheetViews>
    <sheetView showGridLines="0" tabSelected="1" zoomScalePageLayoutView="0" workbookViewId="0" topLeftCell="A1">
      <selection activeCell="C10" sqref="C10"/>
    </sheetView>
  </sheetViews>
  <sheetFormatPr defaultColWidth="9.00390625" defaultRowHeight="14.25"/>
  <cols>
    <col min="1" max="1" width="21.875" style="124" bestFit="1" customWidth="1"/>
    <col min="2" max="2" width="24.125" style="124" bestFit="1" customWidth="1"/>
    <col min="3" max="3" width="19.25390625" style="124" bestFit="1" customWidth="1"/>
    <col min="4" max="4" width="20.75390625" style="124" bestFit="1" customWidth="1"/>
    <col min="5" max="5" width="18.125" style="124" bestFit="1" customWidth="1"/>
    <col min="6" max="6" width="18.375" style="124" bestFit="1" customWidth="1"/>
    <col min="7" max="7" width="3.375" style="124" customWidth="1"/>
    <col min="8" max="8" width="18.625" style="124" customWidth="1"/>
    <col min="9" max="9" width="10.50390625" style="124" bestFit="1" customWidth="1"/>
    <col min="10" max="10" width="13.875" style="124" bestFit="1" customWidth="1"/>
    <col min="11" max="16384" width="9.00390625" style="124" customWidth="1"/>
  </cols>
  <sheetData>
    <row r="1" spans="1:7" ht="27" customHeight="1">
      <c r="A1" s="1" t="s">
        <v>506</v>
      </c>
      <c r="B1" s="2"/>
      <c r="C1" s="2"/>
      <c r="D1" s="2"/>
      <c r="E1" s="2"/>
      <c r="F1" s="2"/>
      <c r="G1" s="51"/>
    </row>
    <row r="2" spans="1:7" ht="14.25">
      <c r="A2" s="104" t="s">
        <v>1533</v>
      </c>
      <c r="B2" s="3"/>
      <c r="C2" s="3"/>
      <c r="D2" s="3"/>
      <c r="E2" s="3"/>
      <c r="F2" s="3"/>
      <c r="G2" s="52"/>
    </row>
    <row r="3" spans="1:7" ht="14.25">
      <c r="A3" s="104" t="s">
        <v>1534</v>
      </c>
      <c r="B3" s="3"/>
      <c r="C3" s="3"/>
      <c r="D3" s="3"/>
      <c r="E3" s="3"/>
      <c r="F3" s="3"/>
      <c r="G3" s="52"/>
    </row>
    <row r="4" spans="1:5" ht="19.5" customHeight="1">
      <c r="A4" s="205" t="s">
        <v>507</v>
      </c>
      <c r="B4" s="206"/>
      <c r="C4" s="206"/>
      <c r="D4" s="206"/>
      <c r="E4" s="207"/>
    </row>
    <row r="5" spans="1:7" ht="18" customHeight="1">
      <c r="A5" s="4" t="s">
        <v>270</v>
      </c>
      <c r="B5" s="5"/>
      <c r="C5" s="5"/>
      <c r="D5" s="5"/>
      <c r="E5" s="55"/>
      <c r="F5" s="6" t="s">
        <v>271</v>
      </c>
      <c r="G5" s="53"/>
    </row>
    <row r="6" spans="1:7" ht="18" customHeight="1">
      <c r="A6" s="7" t="s">
        <v>272</v>
      </c>
      <c r="B6" s="8"/>
      <c r="C6" s="8" t="s">
        <v>273</v>
      </c>
      <c r="D6" s="8"/>
      <c r="E6" s="8" t="s">
        <v>1529</v>
      </c>
      <c r="F6" s="9"/>
      <c r="G6" s="54"/>
    </row>
    <row r="7" spans="1:7" ht="18" customHeight="1">
      <c r="A7" s="10" t="s">
        <v>274</v>
      </c>
      <c r="B7" s="11" t="s">
        <v>275</v>
      </c>
      <c r="C7" s="11" t="s">
        <v>275</v>
      </c>
      <c r="D7" s="11" t="s">
        <v>276</v>
      </c>
      <c r="E7" s="11" t="s">
        <v>275</v>
      </c>
      <c r="F7" s="12" t="s">
        <v>276</v>
      </c>
      <c r="G7" s="54"/>
    </row>
    <row r="8" spans="1:7" ht="18" customHeight="1">
      <c r="A8" s="13" t="s">
        <v>277</v>
      </c>
      <c r="B8" s="14"/>
      <c r="C8" s="15" t="s">
        <v>1</v>
      </c>
      <c r="D8" s="15">
        <f>D9+D13</f>
        <v>186182214800</v>
      </c>
      <c r="E8" s="15" t="s">
        <v>1</v>
      </c>
      <c r="F8" s="16">
        <v>217388497194</v>
      </c>
      <c r="G8" s="54"/>
    </row>
    <row r="9" spans="1:7" ht="18" customHeight="1">
      <c r="A9" s="17" t="s">
        <v>278</v>
      </c>
      <c r="B9" s="18"/>
      <c r="C9" s="19" t="s">
        <v>1</v>
      </c>
      <c r="D9" s="19">
        <f>+C10+C11+C12</f>
        <v>156035701906</v>
      </c>
      <c r="E9" s="19" t="s">
        <v>1</v>
      </c>
      <c r="F9" s="20">
        <v>190974102744</v>
      </c>
      <c r="G9" s="54"/>
    </row>
    <row r="10" spans="1:7" ht="18" customHeight="1">
      <c r="A10" s="21"/>
      <c r="B10" s="18" t="s">
        <v>279</v>
      </c>
      <c r="C10" s="19">
        <f>+부속bs!C11</f>
        <v>35451460</v>
      </c>
      <c r="D10" s="19"/>
      <c r="E10" s="19">
        <v>9768039312</v>
      </c>
      <c r="F10" s="20"/>
      <c r="G10" s="54"/>
    </row>
    <row r="11" spans="1:7" ht="18" customHeight="1">
      <c r="A11" s="21"/>
      <c r="B11" s="18" t="s">
        <v>280</v>
      </c>
      <c r="C11" s="19">
        <f>+부속bs!B12</f>
        <v>156000250446</v>
      </c>
      <c r="D11" s="19"/>
      <c r="E11" s="19">
        <v>181206063432</v>
      </c>
      <c r="F11" s="20"/>
      <c r="G11" s="54"/>
    </row>
    <row r="12" spans="1:7" ht="18" customHeight="1">
      <c r="A12" s="22"/>
      <c r="B12" s="18" t="s">
        <v>281</v>
      </c>
      <c r="C12" s="19">
        <f>부속bs!C14</f>
        <v>0</v>
      </c>
      <c r="D12" s="19"/>
      <c r="E12" s="19">
        <v>0</v>
      </c>
      <c r="F12" s="20"/>
      <c r="G12" s="54"/>
    </row>
    <row r="13" spans="1:7" ht="18" customHeight="1">
      <c r="A13" s="17" t="s">
        <v>282</v>
      </c>
      <c r="B13" s="18"/>
      <c r="C13" s="19"/>
      <c r="D13" s="19">
        <f>+C15+C17-C18+C19+C20+C21+C22+C23-C16</f>
        <v>30146512894</v>
      </c>
      <c r="E13" s="19"/>
      <c r="F13" s="20">
        <v>26414394450</v>
      </c>
      <c r="G13" s="54"/>
    </row>
    <row r="14" spans="1:7" ht="18" customHeight="1">
      <c r="A14" s="21"/>
      <c r="B14" s="18" t="s">
        <v>283</v>
      </c>
      <c r="C14" s="19"/>
      <c r="D14" s="19"/>
      <c r="E14" s="19"/>
      <c r="F14" s="20"/>
      <c r="G14" s="54"/>
    </row>
    <row r="15" spans="1:7" ht="18" customHeight="1">
      <c r="A15" s="21"/>
      <c r="B15" s="18" t="s">
        <v>284</v>
      </c>
      <c r="C15" s="19">
        <f>+부속bs!B36</f>
        <v>221279841</v>
      </c>
      <c r="D15" s="19"/>
      <c r="E15" s="19">
        <v>509941815</v>
      </c>
      <c r="F15" s="20"/>
      <c r="G15" s="54"/>
    </row>
    <row r="16" spans="1:7" ht="18" customHeight="1">
      <c r="A16" s="21"/>
      <c r="B16" s="18" t="s">
        <v>843</v>
      </c>
      <c r="C16" s="19">
        <f>+부속bs!B37</f>
        <v>2217798</v>
      </c>
      <c r="D16" s="19"/>
      <c r="E16" s="19">
        <v>5099418</v>
      </c>
      <c r="F16" s="20"/>
      <c r="G16" s="54"/>
    </row>
    <row r="17" spans="1:7" ht="18" customHeight="1">
      <c r="A17" s="21"/>
      <c r="B17" s="18" t="s">
        <v>285</v>
      </c>
      <c r="C17" s="19">
        <f>+부속bs!B15+부속bs!B17+부속bs!B19+부속bs!B21+부속bs!B23</f>
        <v>29241699222</v>
      </c>
      <c r="D17" s="19"/>
      <c r="E17" s="19">
        <v>25238321701</v>
      </c>
      <c r="F17" s="20"/>
      <c r="G17" s="54"/>
    </row>
    <row r="18" spans="1:7" ht="18" customHeight="1">
      <c r="A18" s="21"/>
      <c r="B18" s="18" t="s">
        <v>758</v>
      </c>
      <c r="C18" s="19">
        <f>+부속bs!B16+부속bs!B18+부속bs!B20+부속bs!B24+부속bs!B26+부속bs!B22</f>
        <v>292416991</v>
      </c>
      <c r="D18" s="19"/>
      <c r="E18" s="19">
        <v>252974731</v>
      </c>
      <c r="F18" s="20">
        <f>+E17-E18</f>
        <v>24985346970</v>
      </c>
      <c r="G18" s="54"/>
    </row>
    <row r="19" spans="1:7" ht="18" customHeight="1">
      <c r="A19" s="21"/>
      <c r="B19" s="18" t="s">
        <v>286</v>
      </c>
      <c r="C19" s="19">
        <v>0</v>
      </c>
      <c r="D19" s="19"/>
      <c r="E19" s="19">
        <v>0</v>
      </c>
      <c r="F19" s="20"/>
      <c r="G19" s="54"/>
    </row>
    <row r="20" spans="1:7" ht="18" customHeight="1">
      <c r="A20" s="21"/>
      <c r="B20" s="447" t="s">
        <v>287</v>
      </c>
      <c r="C20" s="448">
        <f>+부속bs!C39</f>
        <v>500554740</v>
      </c>
      <c r="D20" s="19"/>
      <c r="E20" s="19">
        <v>375477280</v>
      </c>
      <c r="F20" s="20"/>
      <c r="G20" s="54"/>
    </row>
    <row r="21" spans="1:7" ht="18" customHeight="1">
      <c r="A21" s="21"/>
      <c r="B21" s="18" t="s">
        <v>288</v>
      </c>
      <c r="C21" s="19">
        <f>부속bs!B25</f>
        <v>0</v>
      </c>
      <c r="D21" s="19"/>
      <c r="E21" s="19">
        <v>59151410</v>
      </c>
      <c r="F21" s="20"/>
      <c r="G21" s="54"/>
    </row>
    <row r="22" spans="1:7" ht="18" customHeight="1">
      <c r="A22" s="21"/>
      <c r="B22" s="18" t="s">
        <v>289</v>
      </c>
      <c r="C22" s="19">
        <f>부속bs!C38</f>
        <v>9242810</v>
      </c>
      <c r="D22" s="19"/>
      <c r="E22" s="19">
        <v>7380220</v>
      </c>
      <c r="F22" s="20"/>
      <c r="G22" s="54"/>
    </row>
    <row r="23" spans="1:7" ht="18" customHeight="1">
      <c r="A23" s="21"/>
      <c r="B23" s="18" t="s">
        <v>290</v>
      </c>
      <c r="C23" s="19">
        <f>부속bs!C30+부속bs!C31+부속bs!C32</f>
        <v>468371070</v>
      </c>
      <c r="D23" s="19"/>
      <c r="E23" s="19">
        <v>482196173</v>
      </c>
      <c r="F23" s="20"/>
      <c r="G23" s="54"/>
    </row>
    <row r="24" spans="1:7" ht="18" customHeight="1">
      <c r="A24" s="395" t="s">
        <v>291</v>
      </c>
      <c r="B24" s="396"/>
      <c r="C24" s="397" t="s">
        <v>1</v>
      </c>
      <c r="D24" s="397">
        <f>D25+D29+D35+D40</f>
        <v>4915075708</v>
      </c>
      <c r="E24" s="397" t="s">
        <v>1</v>
      </c>
      <c r="F24" s="398">
        <v>2328634000</v>
      </c>
      <c r="G24" s="54"/>
    </row>
    <row r="25" spans="1:7" ht="18" customHeight="1">
      <c r="A25" s="17" t="s">
        <v>292</v>
      </c>
      <c r="B25" s="18"/>
      <c r="C25" s="19" t="s">
        <v>1</v>
      </c>
      <c r="D25" s="19">
        <v>0</v>
      </c>
      <c r="E25" s="19" t="s">
        <v>1</v>
      </c>
      <c r="F25" s="20">
        <v>0</v>
      </c>
      <c r="G25" s="54"/>
    </row>
    <row r="26" spans="1:7" ht="18" customHeight="1">
      <c r="A26" s="21"/>
      <c r="B26" s="31" t="s">
        <v>293</v>
      </c>
      <c r="C26" s="32"/>
      <c r="D26" s="32"/>
      <c r="E26" s="32"/>
      <c r="F26" s="33"/>
      <c r="G26" s="54"/>
    </row>
    <row r="27" spans="1:7" ht="18" customHeight="1">
      <c r="A27" s="21"/>
      <c r="B27" s="18" t="s">
        <v>294</v>
      </c>
      <c r="C27" s="19"/>
      <c r="D27" s="19"/>
      <c r="E27" s="19"/>
      <c r="F27" s="20"/>
      <c r="G27" s="54"/>
    </row>
    <row r="28" spans="1:7" ht="18" customHeight="1">
      <c r="A28" s="22"/>
      <c r="B28" s="27" t="s">
        <v>295</v>
      </c>
      <c r="C28" s="28"/>
      <c r="D28" s="28"/>
      <c r="E28" s="28"/>
      <c r="F28" s="29"/>
      <c r="G28" s="54"/>
    </row>
    <row r="29" spans="1:7" ht="18" customHeight="1">
      <c r="A29" s="17" t="s">
        <v>296</v>
      </c>
      <c r="B29" s="18"/>
      <c r="C29" s="19" t="s">
        <v>1</v>
      </c>
      <c r="D29" s="19">
        <f>+C31+C34+C32</f>
        <v>4694841708</v>
      </c>
      <c r="E29" s="19" t="s">
        <v>1</v>
      </c>
      <c r="F29" s="20">
        <v>2128400000</v>
      </c>
      <c r="G29" s="54"/>
    </row>
    <row r="30" spans="1:7" ht="18" customHeight="1">
      <c r="A30" s="21"/>
      <c r="B30" s="18" t="s">
        <v>297</v>
      </c>
      <c r="C30" s="19"/>
      <c r="D30" s="19"/>
      <c r="E30" s="19"/>
      <c r="F30" s="20"/>
      <c r="G30" s="54"/>
    </row>
    <row r="31" spans="1:7" ht="18" customHeight="1">
      <c r="A31" s="21"/>
      <c r="B31" s="447" t="s">
        <v>298</v>
      </c>
      <c r="C31" s="448">
        <f>+부속tb!A30-부속tb!D68</f>
        <v>2659200000</v>
      </c>
      <c r="D31" s="19"/>
      <c r="E31" s="19">
        <v>2114400000</v>
      </c>
      <c r="F31" s="20"/>
      <c r="G31" s="54"/>
    </row>
    <row r="32" spans="1:7" ht="20.25" customHeight="1">
      <c r="A32" s="21"/>
      <c r="B32" s="18" t="s">
        <v>1551</v>
      </c>
      <c r="C32" s="19">
        <v>2021641708</v>
      </c>
      <c r="D32" s="19"/>
      <c r="E32" s="19">
        <v>2003670155</v>
      </c>
      <c r="F32" s="20"/>
      <c r="G32" s="54"/>
    </row>
    <row r="33" spans="1:7" ht="18" customHeight="1">
      <c r="A33" s="21"/>
      <c r="B33" s="18" t="s">
        <v>1552</v>
      </c>
      <c r="C33" s="19">
        <v>0</v>
      </c>
      <c r="D33" s="19"/>
      <c r="E33" s="19">
        <v>0</v>
      </c>
      <c r="F33" s="20"/>
      <c r="G33" s="54"/>
    </row>
    <row r="34" spans="1:7" ht="18" customHeight="1">
      <c r="A34" s="21"/>
      <c r="B34" s="18" t="s">
        <v>299</v>
      </c>
      <c r="C34" s="19">
        <f>+부속bs!C51</f>
        <v>14000000</v>
      </c>
      <c r="D34" s="19"/>
      <c r="E34" s="19">
        <v>14000000</v>
      </c>
      <c r="F34" s="20"/>
      <c r="G34" s="54"/>
    </row>
    <row r="35" spans="1:7" ht="18" customHeight="1">
      <c r="A35" s="17" t="s">
        <v>300</v>
      </c>
      <c r="B35" s="24"/>
      <c r="C35" s="19" t="s">
        <v>1</v>
      </c>
      <c r="D35" s="19">
        <f>SUM(C36:C39)</f>
        <v>0</v>
      </c>
      <c r="E35" s="19" t="s">
        <v>1</v>
      </c>
      <c r="F35" s="20">
        <v>0</v>
      </c>
      <c r="G35" s="54"/>
    </row>
    <row r="36" spans="1:7" ht="18" customHeight="1">
      <c r="A36" s="21"/>
      <c r="B36" s="18" t="s">
        <v>301</v>
      </c>
      <c r="C36" s="19"/>
      <c r="D36" s="19"/>
      <c r="E36" s="19"/>
      <c r="F36" s="20"/>
      <c r="G36" s="54"/>
    </row>
    <row r="37" spans="1:7" ht="18" customHeight="1">
      <c r="A37" s="21"/>
      <c r="B37" s="18" t="s">
        <v>302</v>
      </c>
      <c r="C37" s="19"/>
      <c r="D37" s="19"/>
      <c r="E37" s="19"/>
      <c r="F37" s="20"/>
      <c r="G37" s="54"/>
    </row>
    <row r="38" spans="1:7" ht="18" customHeight="1">
      <c r="A38" s="21"/>
      <c r="B38" s="18" t="s">
        <v>303</v>
      </c>
      <c r="C38" s="19"/>
      <c r="D38" s="19"/>
      <c r="E38" s="19"/>
      <c r="F38" s="20"/>
      <c r="G38" s="54"/>
    </row>
    <row r="39" spans="1:7" ht="18" customHeight="1">
      <c r="A39" s="22"/>
      <c r="B39" s="18" t="s">
        <v>304</v>
      </c>
      <c r="C39" s="19"/>
      <c r="D39" s="19"/>
      <c r="E39" s="19"/>
      <c r="F39" s="20"/>
      <c r="G39" s="54"/>
    </row>
    <row r="40" spans="1:7" ht="18" customHeight="1">
      <c r="A40" s="17" t="s">
        <v>305</v>
      </c>
      <c r="B40" s="18"/>
      <c r="C40" s="19" t="s">
        <v>1</v>
      </c>
      <c r="D40" s="19">
        <f>SUM(C41:C44)</f>
        <v>220234000</v>
      </c>
      <c r="E40" s="19" t="s">
        <v>1</v>
      </c>
      <c r="F40" s="20">
        <v>200234000</v>
      </c>
      <c r="G40" s="54"/>
    </row>
    <row r="41" spans="1:7" ht="18" customHeight="1">
      <c r="A41" s="21"/>
      <c r="B41" s="18" t="s">
        <v>306</v>
      </c>
      <c r="C41" s="19">
        <f>부속bs!C49</f>
        <v>0</v>
      </c>
      <c r="D41" s="19"/>
      <c r="E41" s="19">
        <v>0</v>
      </c>
      <c r="F41" s="20"/>
      <c r="G41" s="54"/>
    </row>
    <row r="42" spans="1:7" ht="18" customHeight="1">
      <c r="A42" s="21"/>
      <c r="B42" s="18" t="s">
        <v>307</v>
      </c>
      <c r="C42" s="19">
        <f>부속bs!C50</f>
        <v>220234000</v>
      </c>
      <c r="D42" s="19"/>
      <c r="E42" s="19">
        <v>200234000</v>
      </c>
      <c r="F42" s="20"/>
      <c r="G42" s="54"/>
    </row>
    <row r="43" spans="1:7" ht="18" customHeight="1">
      <c r="A43" s="21"/>
      <c r="B43" s="18" t="s">
        <v>715</v>
      </c>
      <c r="C43" s="19">
        <v>0</v>
      </c>
      <c r="D43" s="19"/>
      <c r="E43" s="19">
        <v>0</v>
      </c>
      <c r="F43" s="20"/>
      <c r="G43" s="54"/>
    </row>
    <row r="44" spans="1:7" ht="18" customHeight="1">
      <c r="A44" s="399"/>
      <c r="B44" s="400" t="s">
        <v>308</v>
      </c>
      <c r="C44" s="401">
        <v>0</v>
      </c>
      <c r="D44" s="401"/>
      <c r="E44" s="401">
        <v>0</v>
      </c>
      <c r="F44" s="402"/>
      <c r="G44" s="54"/>
    </row>
    <row r="45" spans="1:7" ht="18" customHeight="1">
      <c r="A45" s="395" t="s">
        <v>309</v>
      </c>
      <c r="B45" s="27"/>
      <c r="C45" s="28"/>
      <c r="D45" s="397">
        <f>D46+D64</f>
        <v>166787512537</v>
      </c>
      <c r="E45" s="28"/>
      <c r="F45" s="398">
        <v>168662496433</v>
      </c>
      <c r="G45" s="54"/>
    </row>
    <row r="46" spans="1:8" ht="18" customHeight="1">
      <c r="A46" s="34" t="s">
        <v>310</v>
      </c>
      <c r="B46" s="394"/>
      <c r="C46" s="19"/>
      <c r="D46" s="19">
        <f>+C47+D48+D52+D54+D56+D58+C62+C63</f>
        <v>166039163889</v>
      </c>
      <c r="E46" s="19"/>
      <c r="F46" s="20">
        <v>168537444349</v>
      </c>
      <c r="G46" s="54"/>
      <c r="H46" s="435"/>
    </row>
    <row r="47" spans="1:7" ht="18" customHeight="1">
      <c r="A47" s="21"/>
      <c r="B47" s="27" t="s">
        <v>311</v>
      </c>
      <c r="C47" s="28">
        <f>+부속bs!C54</f>
        <v>54011527248</v>
      </c>
      <c r="D47" s="28"/>
      <c r="E47" s="28">
        <v>54020278677</v>
      </c>
      <c r="F47" s="29"/>
      <c r="G47" s="54"/>
    </row>
    <row r="48" spans="1:7" ht="20.25" customHeight="1">
      <c r="A48" s="21"/>
      <c r="B48" s="31" t="s">
        <v>312</v>
      </c>
      <c r="C48" s="32">
        <f>부속bs!B55</f>
        <v>136694666319</v>
      </c>
      <c r="D48" s="32">
        <f>+C48-C49</f>
        <v>103830457577</v>
      </c>
      <c r="E48" s="32">
        <v>132321771446</v>
      </c>
      <c r="F48" s="33">
        <v>102896968415</v>
      </c>
      <c r="G48" s="54"/>
    </row>
    <row r="49" spans="1:7" ht="20.25" customHeight="1">
      <c r="A49" s="21"/>
      <c r="B49" s="18" t="s">
        <v>313</v>
      </c>
      <c r="C49" s="19">
        <f>부속bs!B57+부속bs!B56</f>
        <v>32864208742</v>
      </c>
      <c r="D49" s="19"/>
      <c r="E49" s="19">
        <v>29424803031</v>
      </c>
      <c r="F49" s="20"/>
      <c r="G49" s="54"/>
    </row>
    <row r="50" spans="1:7" ht="20.25" customHeight="1">
      <c r="A50" s="21"/>
      <c r="B50" s="27" t="s">
        <v>314</v>
      </c>
      <c r="C50" s="28">
        <f>부속bs!B58</f>
        <v>0</v>
      </c>
      <c r="D50" s="28"/>
      <c r="E50" s="28">
        <v>0</v>
      </c>
      <c r="F50" s="29"/>
      <c r="G50" s="54"/>
    </row>
    <row r="51" spans="1:7" ht="20.25" customHeight="1">
      <c r="A51" s="21"/>
      <c r="B51" s="18" t="s">
        <v>313</v>
      </c>
      <c r="C51" s="19">
        <f>부속bs!B59</f>
        <v>0</v>
      </c>
      <c r="D51" s="19"/>
      <c r="E51" s="19">
        <v>0</v>
      </c>
      <c r="F51" s="20"/>
      <c r="G51" s="54"/>
    </row>
    <row r="52" spans="1:7" ht="20.25" customHeight="1">
      <c r="A52" s="21"/>
      <c r="B52" s="18" t="s">
        <v>745</v>
      </c>
      <c r="C52" s="19">
        <f>+부속bs!B60</f>
        <v>1955599236</v>
      </c>
      <c r="D52" s="19">
        <f>+C52-C53</f>
        <v>541695</v>
      </c>
      <c r="E52" s="19">
        <v>1955599236</v>
      </c>
      <c r="F52" s="20">
        <v>1041387</v>
      </c>
      <c r="G52" s="54"/>
    </row>
    <row r="53" spans="1:7" ht="20.25" customHeight="1">
      <c r="A53" s="21"/>
      <c r="B53" s="18" t="s">
        <v>313</v>
      </c>
      <c r="C53" s="19">
        <f>+부속bs!B61</f>
        <v>1955057541</v>
      </c>
      <c r="D53" s="19"/>
      <c r="E53" s="19">
        <v>1954557849</v>
      </c>
      <c r="F53" s="20"/>
      <c r="G53" s="54"/>
    </row>
    <row r="54" spans="1:7" ht="20.25" customHeight="1">
      <c r="A54" s="21"/>
      <c r="B54" s="18" t="s">
        <v>744</v>
      </c>
      <c r="C54" s="19">
        <f>+부속bs!B62</f>
        <v>99763314631</v>
      </c>
      <c r="D54" s="19">
        <f>+C54-C55</f>
        <v>5490354485</v>
      </c>
      <c r="E54" s="19">
        <v>93760089551</v>
      </c>
      <c r="F54" s="20">
        <v>3613530604</v>
      </c>
      <c r="G54" s="54"/>
    </row>
    <row r="55" spans="1:7" ht="20.25" customHeight="1">
      <c r="A55" s="21"/>
      <c r="B55" s="18" t="s">
        <v>313</v>
      </c>
      <c r="C55" s="19">
        <f>+부속bs!B64+부속bs!B63</f>
        <v>94272960146</v>
      </c>
      <c r="D55" s="19"/>
      <c r="E55" s="19">
        <v>90146558947</v>
      </c>
      <c r="F55" s="20"/>
      <c r="G55" s="54"/>
    </row>
    <row r="56" spans="1:7" ht="20.25" customHeight="1">
      <c r="A56" s="21"/>
      <c r="B56" s="18" t="s">
        <v>746</v>
      </c>
      <c r="C56" s="19">
        <f>+부속bs!B67</f>
        <v>19606621448</v>
      </c>
      <c r="D56" s="19">
        <f>+C56-C57</f>
        <v>1409360480</v>
      </c>
      <c r="E56" s="19">
        <v>18633200274</v>
      </c>
      <c r="F56" s="20">
        <v>1346254837</v>
      </c>
      <c r="G56" s="54"/>
    </row>
    <row r="57" spans="1:7" ht="20.25" customHeight="1">
      <c r="A57" s="21" t="s">
        <v>1</v>
      </c>
      <c r="B57" s="18" t="s">
        <v>313</v>
      </c>
      <c r="C57" s="19">
        <f>+부속bs!B69+부속bs!B68</f>
        <v>18197260968</v>
      </c>
      <c r="D57" s="19"/>
      <c r="E57" s="19">
        <v>17286945437</v>
      </c>
      <c r="F57" s="20"/>
      <c r="G57" s="54"/>
    </row>
    <row r="58" spans="1:7" ht="20.25" customHeight="1">
      <c r="A58" s="21"/>
      <c r="B58" s="18" t="s">
        <v>747</v>
      </c>
      <c r="C58" s="19">
        <f>+부속bs!B65</f>
        <v>741260074</v>
      </c>
      <c r="D58" s="19">
        <f>+C58-C59</f>
        <v>70030904</v>
      </c>
      <c r="E58" s="19">
        <v>729902154</v>
      </c>
      <c r="F58" s="20">
        <v>93954794</v>
      </c>
      <c r="G58" s="54"/>
    </row>
    <row r="59" spans="1:7" ht="20.25" customHeight="1">
      <c r="A59" s="21"/>
      <c r="B59" s="18" t="s">
        <v>313</v>
      </c>
      <c r="C59" s="19">
        <f>+부속bs!B66</f>
        <v>671229170</v>
      </c>
      <c r="D59" s="19"/>
      <c r="E59" s="19">
        <v>635947360</v>
      </c>
      <c r="F59" s="20"/>
      <c r="G59" s="54"/>
    </row>
    <row r="60" spans="1:7" ht="20.25" customHeight="1">
      <c r="A60" s="21"/>
      <c r="B60" s="18" t="s">
        <v>748</v>
      </c>
      <c r="C60" s="19"/>
      <c r="D60" s="19"/>
      <c r="E60" s="19"/>
      <c r="F60" s="20"/>
      <c r="G60" s="54"/>
    </row>
    <row r="61" spans="1:7" ht="20.25" customHeight="1">
      <c r="A61" s="21"/>
      <c r="B61" s="18" t="s">
        <v>313</v>
      </c>
      <c r="C61" s="19"/>
      <c r="D61" s="19"/>
      <c r="E61" s="19"/>
      <c r="F61" s="20"/>
      <c r="G61" s="54"/>
    </row>
    <row r="62" spans="1:7" ht="20.25" customHeight="1">
      <c r="A62" s="21" t="s">
        <v>1</v>
      </c>
      <c r="B62" s="18" t="s">
        <v>816</v>
      </c>
      <c r="C62" s="19">
        <f>+부속bs!B72</f>
        <v>473980000</v>
      </c>
      <c r="D62" s="19">
        <f>+C62</f>
        <v>473980000</v>
      </c>
      <c r="E62" s="19">
        <v>3808833980</v>
      </c>
      <c r="F62" s="20"/>
      <c r="G62" s="54"/>
    </row>
    <row r="63" spans="1:7" ht="20.25" customHeight="1">
      <c r="A63" s="22"/>
      <c r="B63" s="18" t="s">
        <v>1550</v>
      </c>
      <c r="C63" s="19">
        <f>+부속bs!C45</f>
        <v>752911500</v>
      </c>
      <c r="D63" s="19"/>
      <c r="E63" s="19">
        <v>752911500</v>
      </c>
      <c r="F63" s="20"/>
      <c r="G63" s="54"/>
    </row>
    <row r="64" spans="1:7" ht="20.25" customHeight="1">
      <c r="A64" s="34" t="s">
        <v>742</v>
      </c>
      <c r="B64" s="18"/>
      <c r="C64" s="19" t="s">
        <v>1</v>
      </c>
      <c r="D64" s="19">
        <f>D65</f>
        <v>748348648</v>
      </c>
      <c r="E64" s="19" t="s">
        <v>1</v>
      </c>
      <c r="F64" s="20">
        <v>125052084</v>
      </c>
      <c r="G64" s="54"/>
    </row>
    <row r="65" spans="1:7" ht="20.25" customHeight="1">
      <c r="A65" s="34"/>
      <c r="B65" s="18" t="s">
        <v>743</v>
      </c>
      <c r="C65" s="19">
        <f>+부속bs!B74</f>
        <v>748348648</v>
      </c>
      <c r="D65" s="19">
        <f>+C65</f>
        <v>748348648</v>
      </c>
      <c r="E65" s="19"/>
      <c r="F65" s="20">
        <v>125052084</v>
      </c>
      <c r="G65" s="54"/>
    </row>
    <row r="66" spans="1:7" ht="20.25" customHeight="1">
      <c r="A66" s="17"/>
      <c r="B66" s="18"/>
      <c r="C66" s="441"/>
      <c r="D66" s="441"/>
      <c r="E66" s="441"/>
      <c r="F66" s="442"/>
      <c r="G66" s="54"/>
    </row>
    <row r="67" spans="1:7" ht="20.25" customHeight="1">
      <c r="A67" s="35" t="s">
        <v>316</v>
      </c>
      <c r="B67" s="36"/>
      <c r="C67" s="37" t="s">
        <v>1</v>
      </c>
      <c r="D67" s="37">
        <f>D45+D24+D8</f>
        <v>357884803045</v>
      </c>
      <c r="E67" s="37" t="s">
        <v>1</v>
      </c>
      <c r="F67" s="38">
        <v>388379627627</v>
      </c>
      <c r="G67" s="54"/>
    </row>
    <row r="68" spans="1:7" ht="14.25">
      <c r="A68" s="39"/>
      <c r="B68" s="39"/>
      <c r="C68" s="40"/>
      <c r="D68" s="40"/>
      <c r="E68" s="40"/>
      <c r="F68" s="40"/>
      <c r="G68" s="54"/>
    </row>
    <row r="69" spans="1:7" ht="18" customHeight="1">
      <c r="A69" s="41" t="s">
        <v>317</v>
      </c>
      <c r="B69" s="42"/>
      <c r="C69" s="43"/>
      <c r="D69" s="43"/>
      <c r="E69" s="43"/>
      <c r="F69" s="121"/>
      <c r="G69" s="54"/>
    </row>
    <row r="70" spans="1:7" ht="18" customHeight="1">
      <c r="A70" s="7" t="s">
        <v>318</v>
      </c>
      <c r="B70" s="8"/>
      <c r="C70" s="44" t="s">
        <v>273</v>
      </c>
      <c r="D70" s="44"/>
      <c r="E70" s="44" t="s">
        <v>273</v>
      </c>
      <c r="F70" s="45"/>
      <c r="G70" s="54"/>
    </row>
    <row r="71" spans="1:7" ht="18" customHeight="1">
      <c r="A71" s="10" t="s">
        <v>319</v>
      </c>
      <c r="B71" s="11" t="s">
        <v>275</v>
      </c>
      <c r="C71" s="46" t="s">
        <v>275</v>
      </c>
      <c r="D71" s="46" t="s">
        <v>276</v>
      </c>
      <c r="E71" s="46" t="s">
        <v>275</v>
      </c>
      <c r="F71" s="47" t="s">
        <v>276</v>
      </c>
      <c r="G71" s="54"/>
    </row>
    <row r="72" spans="1:7" ht="18" customHeight="1">
      <c r="A72" s="13" t="s">
        <v>320</v>
      </c>
      <c r="B72" s="48"/>
      <c r="C72" s="30" t="s">
        <v>1</v>
      </c>
      <c r="D72" s="15">
        <f>D73+D75+D78</f>
        <v>32351238527</v>
      </c>
      <c r="E72" s="30" t="s">
        <v>1</v>
      </c>
      <c r="F72" s="16">
        <v>29707041286</v>
      </c>
      <c r="G72" s="54"/>
    </row>
    <row r="73" spans="1:7" ht="18" customHeight="1">
      <c r="A73" s="34" t="s">
        <v>321</v>
      </c>
      <c r="B73" s="18"/>
      <c r="C73" s="19" t="s">
        <v>1</v>
      </c>
      <c r="D73" s="19">
        <f>C74</f>
        <v>1238722231</v>
      </c>
      <c r="E73" s="19" t="s">
        <v>1</v>
      </c>
      <c r="F73" s="20">
        <v>1105146864</v>
      </c>
      <c r="G73" s="54"/>
    </row>
    <row r="74" spans="1:7" ht="18" customHeight="1">
      <c r="A74" s="34"/>
      <c r="B74" s="18" t="s">
        <v>322</v>
      </c>
      <c r="C74" s="19">
        <f>부속bs!C92+부속bs!C91</f>
        <v>1238722231</v>
      </c>
      <c r="D74" s="19"/>
      <c r="E74" s="19">
        <v>1105146864</v>
      </c>
      <c r="F74" s="20"/>
      <c r="G74" s="54"/>
    </row>
    <row r="75" spans="1:7" ht="18" customHeight="1">
      <c r="A75" s="17" t="s">
        <v>323</v>
      </c>
      <c r="B75" s="18" t="s">
        <v>1</v>
      </c>
      <c r="C75" s="19"/>
      <c r="D75" s="19">
        <f>SUM(C76:C77)</f>
        <v>920902240</v>
      </c>
      <c r="E75" s="19"/>
      <c r="F75" s="20">
        <v>1037656763</v>
      </c>
      <c r="G75" s="54"/>
    </row>
    <row r="76" spans="1:7" ht="18" customHeight="1">
      <c r="A76" s="21"/>
      <c r="B76" s="18" t="s">
        <v>324</v>
      </c>
      <c r="C76" s="19">
        <v>0</v>
      </c>
      <c r="D76" s="19"/>
      <c r="E76" s="19">
        <v>0</v>
      </c>
      <c r="F76" s="20"/>
      <c r="G76" s="54"/>
    </row>
    <row r="77" spans="1:7" ht="18" customHeight="1">
      <c r="A77" s="22"/>
      <c r="B77" s="18" t="s">
        <v>325</v>
      </c>
      <c r="C77" s="19">
        <f>+부속tb!E63</f>
        <v>920902240</v>
      </c>
      <c r="D77" s="19"/>
      <c r="E77" s="19">
        <v>1037656763</v>
      </c>
      <c r="F77" s="20"/>
      <c r="G77" s="54"/>
    </row>
    <row r="78" spans="1:7" ht="18" customHeight="1">
      <c r="A78" s="17" t="s">
        <v>326</v>
      </c>
      <c r="B78" s="18" t="s">
        <v>1</v>
      </c>
      <c r="C78" s="19"/>
      <c r="D78" s="19">
        <f>SUM(C79:C84)</f>
        <v>30191614056</v>
      </c>
      <c r="E78" s="19"/>
      <c r="F78" s="20">
        <v>27564237659</v>
      </c>
      <c r="G78" s="54"/>
    </row>
    <row r="79" spans="1:7" ht="18" customHeight="1">
      <c r="A79" s="21"/>
      <c r="B79" s="18" t="s">
        <v>327</v>
      </c>
      <c r="C79" s="19">
        <f>부속bs!C85</f>
        <v>1616249463</v>
      </c>
      <c r="D79" s="19"/>
      <c r="E79" s="19">
        <v>1894958034</v>
      </c>
      <c r="F79" s="20"/>
      <c r="G79" s="54"/>
    </row>
    <row r="80" spans="1:7" ht="18" customHeight="1">
      <c r="A80" s="21"/>
      <c r="B80" s="18" t="s">
        <v>328</v>
      </c>
      <c r="C80" s="19">
        <v>0</v>
      </c>
      <c r="D80" s="19"/>
      <c r="E80" s="19">
        <v>0</v>
      </c>
      <c r="F80" s="20"/>
      <c r="G80" s="54"/>
    </row>
    <row r="81" spans="1:7" ht="18" customHeight="1">
      <c r="A81" s="21"/>
      <c r="B81" s="18" t="s">
        <v>329</v>
      </c>
      <c r="C81" s="19">
        <f>부속bs!C84</f>
        <v>18367474500</v>
      </c>
      <c r="D81" s="19"/>
      <c r="E81" s="19">
        <v>18051348733</v>
      </c>
      <c r="F81" s="20"/>
      <c r="G81" s="54"/>
    </row>
    <row r="82" spans="1:7" ht="18" customHeight="1">
      <c r="A82" s="21"/>
      <c r="B82" s="18" t="s">
        <v>330</v>
      </c>
      <c r="C82" s="19">
        <f>부속bs!C83</f>
        <v>10207890093</v>
      </c>
      <c r="D82" s="19"/>
      <c r="E82" s="19">
        <v>7617930892</v>
      </c>
      <c r="F82" s="20"/>
      <c r="G82" s="54"/>
    </row>
    <row r="83" spans="1:7" ht="18" customHeight="1">
      <c r="A83" s="21"/>
      <c r="B83" s="18" t="s">
        <v>331</v>
      </c>
      <c r="C83" s="19"/>
      <c r="D83" s="19"/>
      <c r="E83" s="19"/>
      <c r="F83" s="20"/>
      <c r="G83" s="54"/>
    </row>
    <row r="84" spans="1:7" ht="18" customHeight="1">
      <c r="A84" s="21"/>
      <c r="B84" s="18" t="s">
        <v>332</v>
      </c>
      <c r="C84" s="19">
        <v>0</v>
      </c>
      <c r="D84" s="19"/>
      <c r="E84" s="19">
        <v>0</v>
      </c>
      <c r="F84" s="20"/>
      <c r="G84" s="54"/>
    </row>
    <row r="85" spans="1:8" ht="18" customHeight="1">
      <c r="A85" s="23" t="s">
        <v>333</v>
      </c>
      <c r="B85" s="18"/>
      <c r="C85" s="19"/>
      <c r="D85" s="25">
        <f>D86+D93</f>
        <v>368597990825</v>
      </c>
      <c r="E85" s="19"/>
      <c r="F85" s="26">
        <v>341836882600</v>
      </c>
      <c r="G85" s="54"/>
      <c r="H85" s="435"/>
    </row>
    <row r="86" spans="1:7" ht="18" customHeight="1">
      <c r="A86" s="17" t="s">
        <v>334</v>
      </c>
      <c r="B86" s="18"/>
      <c r="C86" s="19"/>
      <c r="D86" s="19">
        <f>+C89-C90-C91+C92</f>
        <v>182157757</v>
      </c>
      <c r="E86" s="19"/>
      <c r="F86" s="20">
        <v>197787810</v>
      </c>
      <c r="G86" s="54"/>
    </row>
    <row r="87" spans="1:7" ht="18" customHeight="1">
      <c r="A87" s="21" t="s">
        <v>1</v>
      </c>
      <c r="B87" s="18" t="s">
        <v>335</v>
      </c>
      <c r="C87" s="19">
        <f>부속bs!C98+부속bs!C101</f>
        <v>0</v>
      </c>
      <c r="D87" s="19"/>
      <c r="E87" s="19">
        <v>0</v>
      </c>
      <c r="F87" s="20"/>
      <c r="G87" s="54"/>
    </row>
    <row r="88" spans="1:7" ht="18" customHeight="1">
      <c r="A88" s="21"/>
      <c r="B88" s="18" t="s">
        <v>336</v>
      </c>
      <c r="C88" s="19"/>
      <c r="D88" s="19"/>
      <c r="E88" s="19"/>
      <c r="F88" s="20"/>
      <c r="G88" s="54"/>
    </row>
    <row r="89" spans="1:7" ht="18" customHeight="1">
      <c r="A89" s="21"/>
      <c r="B89" s="18" t="s">
        <v>337</v>
      </c>
      <c r="C89" s="19">
        <f>부속bs!B103</f>
        <v>367764800</v>
      </c>
      <c r="D89" s="19"/>
      <c r="E89" s="19">
        <v>509929380</v>
      </c>
      <c r="F89" s="20"/>
      <c r="G89" s="54"/>
    </row>
    <row r="90" spans="1:7" ht="18" customHeight="1">
      <c r="A90" s="21"/>
      <c r="B90" s="18" t="s">
        <v>718</v>
      </c>
      <c r="C90" s="19">
        <f>+부속tb!A36</f>
        <v>24042651</v>
      </c>
      <c r="D90" s="19"/>
      <c r="E90" s="19">
        <v>23676158</v>
      </c>
      <c r="F90" s="20"/>
      <c r="G90" s="54"/>
    </row>
    <row r="91" spans="1:7" ht="18" customHeight="1">
      <c r="A91" s="21"/>
      <c r="B91" s="18" t="s">
        <v>719</v>
      </c>
      <c r="C91" s="19">
        <f>+부속tb!A26</f>
        <v>161564392</v>
      </c>
      <c r="D91" s="19"/>
      <c r="E91" s="19">
        <v>288465412</v>
      </c>
      <c r="F91" s="20"/>
      <c r="G91" s="54"/>
    </row>
    <row r="92" spans="1:7" ht="18" customHeight="1">
      <c r="A92" s="399"/>
      <c r="B92" s="400" t="s">
        <v>338</v>
      </c>
      <c r="C92" s="401">
        <v>0</v>
      </c>
      <c r="D92" s="401"/>
      <c r="E92" s="401">
        <v>0</v>
      </c>
      <c r="F92" s="402"/>
      <c r="G92" s="54"/>
    </row>
    <row r="93" spans="1:7" ht="18" customHeight="1">
      <c r="A93" s="21" t="s">
        <v>339</v>
      </c>
      <c r="B93" s="27" t="s">
        <v>1</v>
      </c>
      <c r="C93" s="28"/>
      <c r="D93" s="403">
        <f>SUM(C94:C98)</f>
        <v>368415833068</v>
      </c>
      <c r="E93" s="28"/>
      <c r="F93" s="404">
        <v>341639094790</v>
      </c>
      <c r="G93" s="54"/>
    </row>
    <row r="94" spans="1:8" ht="18" customHeight="1">
      <c r="A94" s="21"/>
      <c r="B94" s="27" t="s">
        <v>340</v>
      </c>
      <c r="C94" s="28">
        <v>3113000000</v>
      </c>
      <c r="D94" s="28"/>
      <c r="E94" s="28">
        <v>3113000000</v>
      </c>
      <c r="F94" s="29"/>
      <c r="G94" s="54"/>
      <c r="H94" s="124">
        <v>3588058276</v>
      </c>
    </row>
    <row r="95" spans="1:8" ht="18" customHeight="1">
      <c r="A95" s="21"/>
      <c r="B95" s="18" t="s">
        <v>341</v>
      </c>
      <c r="C95" s="19"/>
      <c r="D95" s="19"/>
      <c r="E95" s="19"/>
      <c r="F95" s="20"/>
      <c r="G95" s="54"/>
      <c r="H95" s="435">
        <f>+H94-C94</f>
        <v>475058276</v>
      </c>
    </row>
    <row r="96" spans="1:7" ht="18" customHeight="1">
      <c r="A96" s="21"/>
      <c r="B96" s="18" t="s">
        <v>713</v>
      </c>
      <c r="C96" s="19">
        <v>0</v>
      </c>
      <c r="D96" s="19"/>
      <c r="E96" s="19">
        <v>0</v>
      </c>
      <c r="F96" s="20"/>
      <c r="G96" s="54"/>
    </row>
    <row r="97" spans="1:7" ht="18" customHeight="1">
      <c r="A97" s="21"/>
      <c r="B97" s="18" t="s">
        <v>668</v>
      </c>
      <c r="C97" s="448">
        <f>부속bs!C107</f>
        <v>72017299979</v>
      </c>
      <c r="D97" s="19"/>
      <c r="E97" s="19">
        <v>72603073104</v>
      </c>
      <c r="F97" s="20"/>
      <c r="G97" s="54"/>
    </row>
    <row r="98" spans="1:8" ht="18" customHeight="1">
      <c r="A98" s="21"/>
      <c r="B98" s="447" t="s">
        <v>669</v>
      </c>
      <c r="C98" s="448">
        <f>부속bs!C108</f>
        <v>293285533089</v>
      </c>
      <c r="D98" s="19" t="s">
        <v>1</v>
      </c>
      <c r="E98" s="19">
        <v>265923021686</v>
      </c>
      <c r="F98" s="20" t="s">
        <v>1</v>
      </c>
      <c r="G98" s="54"/>
      <c r="H98" s="124">
        <v>2750000</v>
      </c>
    </row>
    <row r="99" spans="1:7" ht="18" customHeight="1">
      <c r="A99" s="23" t="s">
        <v>342</v>
      </c>
      <c r="B99" s="18"/>
      <c r="C99" s="19"/>
      <c r="D99" s="25">
        <f>D100+D105+D109</f>
        <v>-43064426307</v>
      </c>
      <c r="E99" s="19"/>
      <c r="F99" s="26">
        <v>16835703741</v>
      </c>
      <c r="G99" s="54"/>
    </row>
    <row r="100" spans="1:7" ht="18" customHeight="1">
      <c r="A100" s="17" t="s">
        <v>343</v>
      </c>
      <c r="B100" s="18" t="s">
        <v>1</v>
      </c>
      <c r="C100" s="19"/>
      <c r="D100" s="19">
        <f>+C104+C102-C103</f>
        <v>-3322728447</v>
      </c>
      <c r="E100" s="19"/>
      <c r="F100" s="20">
        <v>54540039289</v>
      </c>
      <c r="G100" s="54"/>
    </row>
    <row r="101" spans="1:7" ht="18" customHeight="1">
      <c r="A101" s="21"/>
      <c r="B101" s="18" t="s">
        <v>344</v>
      </c>
      <c r="C101" s="19"/>
      <c r="D101" s="19"/>
      <c r="E101" s="19"/>
      <c r="F101" s="20"/>
      <c r="G101" s="54"/>
    </row>
    <row r="102" spans="1:7" ht="18" customHeight="1">
      <c r="A102" s="21"/>
      <c r="B102" s="18" t="s">
        <v>345</v>
      </c>
      <c r="C102" s="19">
        <f>+부속bs!C114</f>
        <v>0</v>
      </c>
      <c r="D102" s="19"/>
      <c r="E102" s="19">
        <v>0</v>
      </c>
      <c r="F102" s="20"/>
      <c r="G102" s="54"/>
    </row>
    <row r="103" spans="1:10" ht="18" customHeight="1">
      <c r="A103" s="21"/>
      <c r="B103" s="447" t="s">
        <v>729</v>
      </c>
      <c r="C103" s="448">
        <f>+부속bs!C116*-1</f>
        <v>3322728447</v>
      </c>
      <c r="D103" s="19"/>
      <c r="E103" s="19">
        <v>3885600000</v>
      </c>
      <c r="F103" s="20"/>
      <c r="G103" s="54"/>
      <c r="J103" s="435">
        <f>+E103-C103</f>
        <v>562871553</v>
      </c>
    </row>
    <row r="104" spans="1:8" ht="18" customHeight="1">
      <c r="A104" s="22"/>
      <c r="B104" s="447" t="s">
        <v>346</v>
      </c>
      <c r="C104" s="450">
        <f>+E104-부속tb!B80</f>
        <v>0</v>
      </c>
      <c r="D104" s="19"/>
      <c r="E104" s="208">
        <v>58425639289</v>
      </c>
      <c r="F104" s="20"/>
      <c r="G104" s="54"/>
      <c r="H104" s="443">
        <f>+E104-C104</f>
        <v>58425639289</v>
      </c>
    </row>
    <row r="105" spans="1:7" ht="18" customHeight="1">
      <c r="A105" s="17" t="s">
        <v>347</v>
      </c>
      <c r="B105" s="18" t="s">
        <v>1</v>
      </c>
      <c r="C105" s="19"/>
      <c r="D105" s="19">
        <f>SUM(C106:C108)</f>
        <v>0</v>
      </c>
      <c r="E105" s="19"/>
      <c r="F105" s="20">
        <v>0</v>
      </c>
      <c r="G105" s="54"/>
    </row>
    <row r="106" spans="1:8" ht="18" customHeight="1">
      <c r="A106" s="21"/>
      <c r="B106" s="18" t="s">
        <v>348</v>
      </c>
      <c r="C106" s="19"/>
      <c r="D106" s="19"/>
      <c r="E106" s="19"/>
      <c r="F106" s="20"/>
      <c r="G106" s="54"/>
      <c r="H106" s="443">
        <f>+H104-35000000000</f>
        <v>23425639289</v>
      </c>
    </row>
    <row r="107" spans="1:7" ht="18" customHeight="1">
      <c r="A107" s="21"/>
      <c r="B107" s="18" t="s">
        <v>349</v>
      </c>
      <c r="C107" s="19"/>
      <c r="D107" s="19"/>
      <c r="E107" s="19"/>
      <c r="F107" s="20"/>
      <c r="G107" s="54"/>
    </row>
    <row r="108" spans="1:7" ht="18" customHeight="1">
      <c r="A108" s="22"/>
      <c r="B108" s="18" t="s">
        <v>350</v>
      </c>
      <c r="C108" s="19"/>
      <c r="D108" s="19"/>
      <c r="E108" s="19"/>
      <c r="F108" s="20"/>
      <c r="G108" s="54"/>
    </row>
    <row r="109" spans="1:8" ht="18" customHeight="1">
      <c r="A109" s="17" t="s">
        <v>351</v>
      </c>
      <c r="B109" s="18"/>
      <c r="C109" s="19"/>
      <c r="D109" s="49">
        <f>SUM(C110:C112)</f>
        <v>-39741697860</v>
      </c>
      <c r="E109" s="19"/>
      <c r="F109" s="204">
        <v>-37704335548</v>
      </c>
      <c r="G109" s="54"/>
      <c r="H109" s="124">
        <v>32069462628</v>
      </c>
    </row>
    <row r="110" spans="1:8" ht="18" customHeight="1">
      <c r="A110" s="21" t="s">
        <v>1</v>
      </c>
      <c r="B110" s="18" t="s">
        <v>352</v>
      </c>
      <c r="C110" s="49">
        <f>F109</f>
        <v>-37704335548</v>
      </c>
      <c r="D110" s="19" t="s">
        <v>1</v>
      </c>
      <c r="E110" s="49">
        <v>-32348742175</v>
      </c>
      <c r="F110" s="20" t="s">
        <v>1</v>
      </c>
      <c r="G110" s="54"/>
      <c r="H110" s="454">
        <f>+H109+F109</f>
        <v>-5634872920</v>
      </c>
    </row>
    <row r="111" spans="1:7" ht="18" customHeight="1">
      <c r="A111" s="21"/>
      <c r="B111" s="18" t="s">
        <v>353</v>
      </c>
      <c r="C111" s="19"/>
      <c r="D111" s="19"/>
      <c r="E111" s="19"/>
      <c r="F111" s="20"/>
      <c r="G111" s="54"/>
    </row>
    <row r="112" spans="1:8" ht="18" customHeight="1">
      <c r="A112" s="22"/>
      <c r="B112" s="24" t="s">
        <v>354</v>
      </c>
      <c r="C112" s="50">
        <f>사학운영!D118</f>
        <v>-2037362312</v>
      </c>
      <c r="D112" s="25"/>
      <c r="E112" s="50">
        <v>-5355593373</v>
      </c>
      <c r="F112" s="26"/>
      <c r="G112" s="54"/>
      <c r="H112" s="124">
        <v>2750000</v>
      </c>
    </row>
    <row r="113" spans="1:7" ht="18" customHeight="1">
      <c r="A113" s="35" t="s">
        <v>355</v>
      </c>
      <c r="B113" s="36"/>
      <c r="C113" s="37" t="s">
        <v>1</v>
      </c>
      <c r="D113" s="37">
        <f>D99+D85+D72</f>
        <v>357884803045</v>
      </c>
      <c r="E113" s="37" t="s">
        <v>1</v>
      </c>
      <c r="F113" s="38">
        <v>388379627627</v>
      </c>
      <c r="G113" s="54"/>
    </row>
    <row r="114" spans="1:7" ht="14.25">
      <c r="A114" s="5"/>
      <c r="B114" s="5"/>
      <c r="C114" s="5"/>
      <c r="D114" s="55">
        <f>+D113-D67</f>
        <v>0</v>
      </c>
      <c r="E114" s="5"/>
      <c r="F114" s="55">
        <f>+F113-F67</f>
        <v>0</v>
      </c>
      <c r="G114" s="53"/>
    </row>
    <row r="115" spans="1:7" ht="14.25">
      <c r="A115" s="5"/>
      <c r="B115" s="5"/>
      <c r="C115" s="56"/>
      <c r="D115" s="55"/>
      <c r="E115" s="55"/>
      <c r="F115" s="55"/>
      <c r="G115" s="53"/>
    </row>
    <row r="116" spans="1:7" ht="14.25">
      <c r="A116" s="53"/>
      <c r="B116" s="120"/>
      <c r="C116" s="57" t="s">
        <v>698</v>
      </c>
      <c r="D116" s="57">
        <f>D8-D72</f>
        <v>153830976273</v>
      </c>
      <c r="E116" s="57"/>
      <c r="F116" s="57"/>
      <c r="G116" s="53"/>
    </row>
    <row r="117" spans="1:7" ht="14.25">
      <c r="A117" s="123"/>
      <c r="B117" s="122"/>
      <c r="C117" s="122"/>
      <c r="D117" s="57"/>
      <c r="E117" s="120"/>
      <c r="F117" s="53"/>
      <c r="G117" s="53"/>
    </row>
    <row r="118" spans="1:7" ht="14.25">
      <c r="A118" s="53"/>
      <c r="B118" s="122"/>
      <c r="C118" s="122"/>
      <c r="D118" s="57">
        <f>+'사학자금(지출)'!G116</f>
        <v>153830976273</v>
      </c>
      <c r="E118" s="57"/>
      <c r="F118" s="53"/>
      <c r="G118" s="53"/>
    </row>
    <row r="119" spans="1:7" ht="14.25">
      <c r="A119" s="53"/>
      <c r="B119" s="122"/>
      <c r="C119" s="122"/>
      <c r="D119" s="53"/>
      <c r="E119" s="53"/>
      <c r="F119" s="53"/>
      <c r="G119" s="53"/>
    </row>
    <row r="120" spans="1:7" ht="14.25">
      <c r="A120" s="53"/>
      <c r="B120" s="122"/>
      <c r="C120" s="122"/>
      <c r="D120" s="58">
        <f>+D116-D118</f>
        <v>0</v>
      </c>
      <c r="E120" s="53"/>
      <c r="F120" s="53"/>
      <c r="G120" s="53"/>
    </row>
    <row r="121" spans="1:7" ht="14.25">
      <c r="A121" s="53"/>
      <c r="B121" s="122"/>
      <c r="C121" s="122"/>
      <c r="D121" s="53"/>
      <c r="E121" s="146"/>
      <c r="F121" s="53"/>
      <c r="G121" s="53"/>
    </row>
    <row r="122" spans="1:7" ht="14.25">
      <c r="A122" s="53"/>
      <c r="B122" s="122"/>
      <c r="C122" s="122"/>
      <c r="D122" s="59"/>
      <c r="E122" s="53"/>
      <c r="F122" s="53"/>
      <c r="G122" s="53"/>
    </row>
    <row r="123" spans="1:7" ht="14.25">
      <c r="A123" s="53"/>
      <c r="B123" s="53"/>
      <c r="C123" s="53"/>
      <c r="D123" s="57"/>
      <c r="E123" s="53"/>
      <c r="F123" s="53"/>
      <c r="G123" s="53"/>
    </row>
    <row r="124" spans="1:7" ht="14.25">
      <c r="A124" s="53"/>
      <c r="B124" s="53"/>
      <c r="C124" s="120"/>
      <c r="D124" s="57"/>
      <c r="E124" s="53"/>
      <c r="F124" s="53"/>
      <c r="G124" s="53"/>
    </row>
    <row r="125" spans="1:7" ht="14.25">
      <c r="A125" s="53"/>
      <c r="B125" s="53"/>
      <c r="C125" s="53"/>
      <c r="D125" s="57"/>
      <c r="E125" s="53"/>
      <c r="F125" s="53"/>
      <c r="G125" s="53"/>
    </row>
    <row r="126" spans="1:7" ht="14.25">
      <c r="A126" s="53"/>
      <c r="B126" s="53"/>
      <c r="C126" s="53"/>
      <c r="D126" s="57"/>
      <c r="E126" s="53"/>
      <c r="F126" s="53"/>
      <c r="G126" s="53"/>
    </row>
    <row r="127" spans="1:7" ht="14.25">
      <c r="A127" s="53"/>
      <c r="B127" s="53"/>
      <c r="C127" s="53"/>
      <c r="D127" s="57"/>
      <c r="E127" s="53"/>
      <c r="F127" s="53"/>
      <c r="G127" s="53"/>
    </row>
    <row r="128" spans="1:7" ht="14.25">
      <c r="A128" s="53"/>
      <c r="B128" s="53"/>
      <c r="C128" s="53"/>
      <c r="D128" s="57"/>
      <c r="E128" s="53"/>
      <c r="F128" s="53"/>
      <c r="G128" s="53"/>
    </row>
    <row r="129" spans="1:7" ht="14.25">
      <c r="A129" s="53"/>
      <c r="B129" s="53"/>
      <c r="C129" s="53"/>
      <c r="D129" s="53"/>
      <c r="E129" s="53"/>
      <c r="F129" s="53"/>
      <c r="G129" s="53"/>
    </row>
    <row r="130" spans="1:7" ht="14.25">
      <c r="A130" s="53"/>
      <c r="B130" s="53"/>
      <c r="C130" s="53"/>
      <c r="D130" s="57"/>
      <c r="E130" s="53"/>
      <c r="F130" s="53"/>
      <c r="G130" s="53"/>
    </row>
    <row r="131" spans="1:7" ht="14.25">
      <c r="A131" s="53"/>
      <c r="B131" s="53"/>
      <c r="C131" s="53"/>
      <c r="D131" s="53"/>
      <c r="E131" s="53"/>
      <c r="F131" s="53"/>
      <c r="G131" s="53"/>
    </row>
    <row r="132" spans="1:7" ht="14.25">
      <c r="A132" s="53"/>
      <c r="B132" s="53"/>
      <c r="C132" s="53"/>
      <c r="D132" s="53"/>
      <c r="E132" s="53"/>
      <c r="F132" s="53"/>
      <c r="G132" s="53"/>
    </row>
    <row r="133" spans="1:7" ht="14.25">
      <c r="A133" s="53"/>
      <c r="B133" s="53"/>
      <c r="C133" s="53"/>
      <c r="D133" s="53"/>
      <c r="E133" s="53"/>
      <c r="F133" s="53"/>
      <c r="G133" s="53"/>
    </row>
    <row r="134" spans="1:7" ht="14.25">
      <c r="A134" s="53"/>
      <c r="B134" s="53"/>
      <c r="C134" s="53"/>
      <c r="D134" s="53"/>
      <c r="E134" s="53"/>
      <c r="F134" s="53"/>
      <c r="G134" s="53"/>
    </row>
    <row r="135" spans="1:7" ht="14.25">
      <c r="A135" s="53"/>
      <c r="B135" s="53"/>
      <c r="C135" s="53"/>
      <c r="D135" s="53"/>
      <c r="E135" s="53"/>
      <c r="F135" s="53"/>
      <c r="G135" s="53"/>
    </row>
    <row r="136" spans="1:7" ht="14.25">
      <c r="A136" s="53"/>
      <c r="B136" s="53"/>
      <c r="C136" s="53"/>
      <c r="D136" s="53"/>
      <c r="E136" s="53"/>
      <c r="F136" s="53"/>
      <c r="G136" s="53"/>
    </row>
    <row r="137" spans="1:7" ht="14.25">
      <c r="A137" s="53"/>
      <c r="B137" s="53"/>
      <c r="C137" s="53"/>
      <c r="D137" s="53"/>
      <c r="E137" s="53"/>
      <c r="F137" s="53"/>
      <c r="G137" s="53"/>
    </row>
    <row r="138" spans="1:7" ht="14.25">
      <c r="A138" s="53"/>
      <c r="B138" s="53"/>
      <c r="C138" s="53"/>
      <c r="D138" s="53"/>
      <c r="E138" s="53"/>
      <c r="F138" s="53"/>
      <c r="G138" s="53"/>
    </row>
    <row r="139" spans="1:7" ht="14.25">
      <c r="A139" s="53"/>
      <c r="B139" s="53"/>
      <c r="C139" s="53"/>
      <c r="D139" s="53"/>
      <c r="E139" s="53"/>
      <c r="F139" s="53"/>
      <c r="G139" s="53"/>
    </row>
    <row r="140" spans="1:7" ht="14.25">
      <c r="A140" s="53"/>
      <c r="B140" s="53"/>
      <c r="C140" s="53"/>
      <c r="D140" s="53"/>
      <c r="E140" s="53"/>
      <c r="F140" s="53"/>
      <c r="G140" s="53"/>
    </row>
    <row r="141" spans="1:7" ht="14.25">
      <c r="A141" s="53"/>
      <c r="B141" s="53"/>
      <c r="C141" s="53"/>
      <c r="D141" s="53"/>
      <c r="E141" s="53"/>
      <c r="F141" s="53"/>
      <c r="G141" s="53"/>
    </row>
    <row r="142" spans="1:7" ht="14.25">
      <c r="A142" s="53"/>
      <c r="B142" s="53"/>
      <c r="C142" s="53"/>
      <c r="D142" s="53"/>
      <c r="E142" s="53"/>
      <c r="F142" s="53"/>
      <c r="G142" s="53"/>
    </row>
    <row r="143" spans="1:7" ht="14.25">
      <c r="A143" s="53"/>
      <c r="B143" s="53"/>
      <c r="C143" s="53"/>
      <c r="D143" s="53"/>
      <c r="E143" s="53"/>
      <c r="F143" s="53"/>
      <c r="G143" s="53"/>
    </row>
    <row r="144" spans="1:7" ht="14.25">
      <c r="A144" s="53"/>
      <c r="B144" s="53"/>
      <c r="C144" s="53"/>
      <c r="D144" s="53"/>
      <c r="E144" s="53"/>
      <c r="F144" s="53"/>
      <c r="G144" s="53"/>
    </row>
    <row r="145" spans="1:7" ht="14.25">
      <c r="A145" s="53"/>
      <c r="B145" s="53"/>
      <c r="C145" s="53"/>
      <c r="D145" s="53"/>
      <c r="E145" s="53"/>
      <c r="F145" s="53"/>
      <c r="G145" s="53"/>
    </row>
    <row r="146" spans="1:7" ht="14.25">
      <c r="A146" s="53"/>
      <c r="B146" s="53"/>
      <c r="C146" s="53"/>
      <c r="D146" s="53"/>
      <c r="E146" s="53"/>
      <c r="F146" s="53"/>
      <c r="G146" s="53"/>
    </row>
    <row r="147" spans="1:7" ht="14.25">
      <c r="A147" s="53"/>
      <c r="B147" s="53"/>
      <c r="C147" s="53"/>
      <c r="D147" s="53"/>
      <c r="E147" s="53"/>
      <c r="F147" s="53"/>
      <c r="G147" s="53"/>
    </row>
    <row r="148" spans="1:7" ht="14.25">
      <c r="A148" s="53"/>
      <c r="B148" s="53"/>
      <c r="C148" s="53"/>
      <c r="D148" s="53"/>
      <c r="E148" s="53"/>
      <c r="F148" s="53"/>
      <c r="G148" s="53"/>
    </row>
    <row r="149" spans="1:7" ht="14.25">
      <c r="A149" s="53"/>
      <c r="B149" s="53"/>
      <c r="C149" s="53"/>
      <c r="D149" s="53"/>
      <c r="E149" s="53"/>
      <c r="F149" s="53"/>
      <c r="G149" s="53"/>
    </row>
    <row r="150" spans="1:7" ht="14.25">
      <c r="A150" s="53"/>
      <c r="B150" s="53"/>
      <c r="C150" s="53"/>
      <c r="D150" s="53"/>
      <c r="E150" s="53"/>
      <c r="F150" s="53"/>
      <c r="G150" s="53"/>
    </row>
    <row r="151" spans="1:7" ht="14.25">
      <c r="A151" s="53"/>
      <c r="B151" s="53"/>
      <c r="C151" s="53"/>
      <c r="D151" s="53"/>
      <c r="E151" s="53"/>
      <c r="F151" s="53"/>
      <c r="G151" s="53"/>
    </row>
    <row r="152" spans="1:7" ht="14.25">
      <c r="A152" s="53"/>
      <c r="B152" s="53"/>
      <c r="C152" s="53"/>
      <c r="D152" s="53"/>
      <c r="E152" s="53"/>
      <c r="F152" s="53"/>
      <c r="G152" s="53"/>
    </row>
    <row r="153" spans="1:7" ht="14.25">
      <c r="A153" s="53"/>
      <c r="B153" s="53"/>
      <c r="C153" s="53"/>
      <c r="D153" s="53"/>
      <c r="E153" s="53"/>
      <c r="F153" s="53"/>
      <c r="G153" s="53"/>
    </row>
    <row r="154" spans="1:7" ht="14.25">
      <c r="A154" s="53"/>
      <c r="B154" s="53"/>
      <c r="C154" s="53"/>
      <c r="D154" s="53"/>
      <c r="E154" s="53"/>
      <c r="F154" s="53"/>
      <c r="G154" s="53"/>
    </row>
    <row r="155" spans="1:7" ht="14.25">
      <c r="A155" s="53"/>
      <c r="B155" s="53"/>
      <c r="C155" s="53"/>
      <c r="D155" s="53"/>
      <c r="E155" s="53"/>
      <c r="F155" s="53"/>
      <c r="G155" s="53"/>
    </row>
    <row r="156" spans="1:7" ht="14.25">
      <c r="A156" s="53"/>
      <c r="B156" s="53"/>
      <c r="C156" s="53"/>
      <c r="D156" s="53"/>
      <c r="E156" s="53"/>
      <c r="F156" s="53"/>
      <c r="G156" s="53"/>
    </row>
    <row r="157" spans="1:7" ht="14.25">
      <c r="A157" s="53"/>
      <c r="B157" s="53"/>
      <c r="C157" s="53"/>
      <c r="D157" s="53"/>
      <c r="E157" s="53"/>
      <c r="F157" s="53"/>
      <c r="G157" s="53"/>
    </row>
    <row r="158" spans="1:7" ht="14.25">
      <c r="A158" s="53"/>
      <c r="B158" s="53"/>
      <c r="C158" s="53"/>
      <c r="D158" s="53"/>
      <c r="E158" s="53"/>
      <c r="F158" s="53"/>
      <c r="G158" s="53"/>
    </row>
    <row r="159" spans="1:7" ht="14.25">
      <c r="A159" s="53"/>
      <c r="B159" s="53"/>
      <c r="C159" s="53"/>
      <c r="D159" s="53"/>
      <c r="E159" s="53"/>
      <c r="F159" s="53"/>
      <c r="G159" s="53"/>
    </row>
    <row r="160" spans="1:7" ht="14.25">
      <c r="A160" s="53"/>
      <c r="B160" s="53"/>
      <c r="C160" s="53"/>
      <c r="D160" s="53"/>
      <c r="E160" s="53"/>
      <c r="F160" s="53"/>
      <c r="G160" s="53"/>
    </row>
    <row r="161" spans="1:7" ht="14.25">
      <c r="A161" s="53"/>
      <c r="B161" s="53"/>
      <c r="C161" s="53"/>
      <c r="D161" s="53"/>
      <c r="E161" s="53"/>
      <c r="F161" s="53"/>
      <c r="G161" s="53"/>
    </row>
    <row r="162" spans="1:7" ht="14.25">
      <c r="A162" s="53"/>
      <c r="B162" s="53"/>
      <c r="C162" s="53"/>
      <c r="D162" s="53"/>
      <c r="E162" s="53"/>
      <c r="F162" s="53"/>
      <c r="G162" s="53"/>
    </row>
    <row r="163" spans="1:7" ht="14.25">
      <c r="A163" s="53"/>
      <c r="B163" s="53"/>
      <c r="C163" s="53"/>
      <c r="D163" s="53"/>
      <c r="E163" s="53"/>
      <c r="F163" s="53"/>
      <c r="G163" s="53"/>
    </row>
    <row r="164" spans="1:7" ht="14.25">
      <c r="A164" s="53"/>
      <c r="B164" s="53"/>
      <c r="C164" s="53"/>
      <c r="D164" s="53"/>
      <c r="E164" s="53"/>
      <c r="F164" s="53"/>
      <c r="G164" s="53"/>
    </row>
    <row r="165" spans="1:7" ht="14.25">
      <c r="A165" s="53"/>
      <c r="B165" s="53"/>
      <c r="C165" s="53"/>
      <c r="D165" s="53"/>
      <c r="E165" s="53"/>
      <c r="F165" s="53"/>
      <c r="G165" s="53"/>
    </row>
    <row r="166" spans="1:7" ht="14.25">
      <c r="A166" s="53"/>
      <c r="B166" s="53"/>
      <c r="C166" s="53"/>
      <c r="D166" s="53"/>
      <c r="E166" s="53"/>
      <c r="F166" s="53"/>
      <c r="G166" s="53"/>
    </row>
    <row r="167" spans="1:7" ht="14.25">
      <c r="A167" s="53"/>
      <c r="B167" s="53"/>
      <c r="C167" s="53"/>
      <c r="D167" s="53"/>
      <c r="E167" s="53"/>
      <c r="F167" s="53"/>
      <c r="G167" s="53"/>
    </row>
    <row r="168" spans="1:7" ht="14.25">
      <c r="A168" s="53"/>
      <c r="B168" s="53"/>
      <c r="C168" s="53"/>
      <c r="D168" s="53"/>
      <c r="E168" s="53"/>
      <c r="F168" s="53"/>
      <c r="G168" s="53"/>
    </row>
    <row r="169" spans="1:7" ht="14.25">
      <c r="A169" s="53"/>
      <c r="B169" s="53"/>
      <c r="C169" s="53"/>
      <c r="D169" s="53"/>
      <c r="E169" s="53"/>
      <c r="F169" s="53"/>
      <c r="G169" s="53"/>
    </row>
    <row r="170" spans="1:7" ht="14.25">
      <c r="A170" s="53"/>
      <c r="B170" s="53"/>
      <c r="C170" s="53"/>
      <c r="D170" s="53"/>
      <c r="E170" s="53"/>
      <c r="F170" s="53"/>
      <c r="G170" s="53"/>
    </row>
    <row r="171" spans="1:7" ht="14.25">
      <c r="A171" s="53"/>
      <c r="B171" s="53"/>
      <c r="C171" s="53"/>
      <c r="D171" s="53"/>
      <c r="E171" s="53"/>
      <c r="F171" s="53"/>
      <c r="G171" s="53"/>
    </row>
    <row r="172" spans="1:7" ht="14.25">
      <c r="A172" s="53"/>
      <c r="B172" s="53"/>
      <c r="C172" s="53"/>
      <c r="D172" s="53"/>
      <c r="E172" s="53"/>
      <c r="F172" s="53"/>
      <c r="G172" s="53"/>
    </row>
    <row r="173" spans="1:7" ht="14.25">
      <c r="A173" s="53"/>
      <c r="B173" s="53"/>
      <c r="C173" s="53"/>
      <c r="D173" s="53"/>
      <c r="E173" s="53"/>
      <c r="F173" s="53"/>
      <c r="G173" s="53"/>
    </row>
    <row r="174" spans="1:7" ht="14.25">
      <c r="A174" s="53"/>
      <c r="B174" s="53"/>
      <c r="C174" s="53"/>
      <c r="D174" s="53"/>
      <c r="E174" s="53"/>
      <c r="F174" s="53"/>
      <c r="G174" s="53"/>
    </row>
    <row r="175" spans="1:7" ht="14.25">
      <c r="A175" s="53"/>
      <c r="B175" s="53"/>
      <c r="C175" s="53"/>
      <c r="D175" s="53"/>
      <c r="E175" s="53"/>
      <c r="F175" s="53"/>
      <c r="G175" s="53"/>
    </row>
    <row r="176" spans="1:7" ht="14.25">
      <c r="A176" s="53"/>
      <c r="B176" s="53"/>
      <c r="C176" s="53"/>
      <c r="D176" s="53"/>
      <c r="E176" s="53"/>
      <c r="F176" s="53"/>
      <c r="G176" s="53"/>
    </row>
    <row r="177" spans="1:7" ht="14.25">
      <c r="A177" s="53"/>
      <c r="B177" s="53"/>
      <c r="C177" s="53"/>
      <c r="D177" s="53"/>
      <c r="E177" s="53"/>
      <c r="F177" s="53"/>
      <c r="G177" s="53"/>
    </row>
    <row r="178" spans="1:7" ht="14.25">
      <c r="A178" s="53"/>
      <c r="B178" s="53"/>
      <c r="C178" s="53"/>
      <c r="D178" s="53"/>
      <c r="E178" s="53"/>
      <c r="F178" s="53"/>
      <c r="G178" s="53"/>
    </row>
    <row r="179" spans="1:7" ht="14.25">
      <c r="A179" s="53"/>
      <c r="B179" s="53"/>
      <c r="C179" s="53"/>
      <c r="D179" s="53"/>
      <c r="E179" s="53"/>
      <c r="F179" s="53"/>
      <c r="G179" s="53"/>
    </row>
    <row r="180" spans="1:7" ht="14.25">
      <c r="A180" s="53"/>
      <c r="B180" s="53"/>
      <c r="C180" s="53"/>
      <c r="D180" s="53"/>
      <c r="E180" s="53"/>
      <c r="F180" s="53"/>
      <c r="G180" s="53"/>
    </row>
    <row r="181" spans="1:7" ht="14.25">
      <c r="A181" s="53"/>
      <c r="B181" s="53"/>
      <c r="C181" s="53"/>
      <c r="D181" s="53"/>
      <c r="E181" s="53"/>
      <c r="F181" s="53"/>
      <c r="G181" s="53"/>
    </row>
    <row r="182" spans="1:7" ht="14.25">
      <c r="A182" s="53"/>
      <c r="B182" s="53"/>
      <c r="C182" s="53"/>
      <c r="D182" s="53"/>
      <c r="E182" s="53"/>
      <c r="F182" s="53"/>
      <c r="G182" s="53"/>
    </row>
    <row r="183" spans="1:7" ht="14.25">
      <c r="A183" s="53"/>
      <c r="B183" s="53"/>
      <c r="C183" s="53"/>
      <c r="D183" s="53"/>
      <c r="E183" s="53"/>
      <c r="F183" s="53"/>
      <c r="G183" s="53"/>
    </row>
    <row r="184" spans="1:7" ht="14.25">
      <c r="A184" s="53"/>
      <c r="B184" s="53"/>
      <c r="C184" s="53"/>
      <c r="D184" s="53"/>
      <c r="E184" s="53"/>
      <c r="F184" s="53"/>
      <c r="G184" s="53"/>
    </row>
    <row r="185" spans="1:7" ht="14.25">
      <c r="A185" s="53"/>
      <c r="B185" s="53"/>
      <c r="C185" s="53"/>
      <c r="D185" s="53"/>
      <c r="E185" s="53"/>
      <c r="F185" s="53"/>
      <c r="G185" s="53"/>
    </row>
    <row r="186" spans="1:7" ht="14.25">
      <c r="A186" s="53"/>
      <c r="B186" s="53"/>
      <c r="C186" s="53"/>
      <c r="D186" s="53"/>
      <c r="E186" s="53"/>
      <c r="F186" s="53"/>
      <c r="G186" s="53"/>
    </row>
    <row r="187" spans="1:7" ht="14.25">
      <c r="A187" s="53"/>
      <c r="B187" s="53"/>
      <c r="C187" s="53"/>
      <c r="D187" s="53"/>
      <c r="E187" s="53"/>
      <c r="F187" s="53"/>
      <c r="G187" s="53"/>
    </row>
    <row r="188" spans="1:7" ht="14.25">
      <c r="A188" s="53"/>
      <c r="B188" s="53"/>
      <c r="C188" s="53"/>
      <c r="D188" s="53"/>
      <c r="E188" s="53"/>
      <c r="F188" s="53"/>
      <c r="G188" s="53"/>
    </row>
    <row r="189" spans="1:7" ht="14.25">
      <c r="A189" s="53"/>
      <c r="B189" s="53"/>
      <c r="C189" s="53"/>
      <c r="D189" s="53"/>
      <c r="E189" s="53"/>
      <c r="F189" s="53"/>
      <c r="G189" s="53"/>
    </row>
    <row r="190" spans="1:7" ht="14.25">
      <c r="A190" s="53"/>
      <c r="B190" s="53"/>
      <c r="C190" s="53"/>
      <c r="D190" s="53"/>
      <c r="E190" s="53"/>
      <c r="F190" s="53"/>
      <c r="G190" s="53"/>
    </row>
    <row r="191" spans="1:7" ht="14.25">
      <c r="A191" s="53"/>
      <c r="B191" s="53"/>
      <c r="C191" s="53"/>
      <c r="D191" s="53"/>
      <c r="E191" s="53"/>
      <c r="F191" s="53"/>
      <c r="G191" s="53"/>
    </row>
    <row r="192" spans="1:7" ht="14.25">
      <c r="A192" s="53"/>
      <c r="B192" s="53"/>
      <c r="C192" s="53"/>
      <c r="D192" s="53"/>
      <c r="E192" s="53"/>
      <c r="F192" s="53"/>
      <c r="G192" s="53"/>
    </row>
    <row r="193" spans="1:7" ht="14.25">
      <c r="A193" s="53"/>
      <c r="B193" s="53"/>
      <c r="C193" s="53"/>
      <c r="D193" s="53"/>
      <c r="E193" s="53"/>
      <c r="F193" s="53"/>
      <c r="G193" s="53"/>
    </row>
    <row r="194" spans="1:7" ht="14.25">
      <c r="A194" s="53"/>
      <c r="B194" s="53"/>
      <c r="C194" s="53"/>
      <c r="D194" s="53"/>
      <c r="E194" s="53"/>
      <c r="F194" s="53"/>
      <c r="G194" s="53"/>
    </row>
    <row r="195" spans="1:7" ht="14.25">
      <c r="A195" s="53"/>
      <c r="B195" s="53"/>
      <c r="C195" s="53"/>
      <c r="D195" s="53"/>
      <c r="E195" s="53"/>
      <c r="F195" s="53"/>
      <c r="G195" s="53"/>
    </row>
    <row r="196" spans="1:7" ht="14.25">
      <c r="A196" s="53"/>
      <c r="B196" s="53"/>
      <c r="C196" s="53"/>
      <c r="D196" s="53"/>
      <c r="E196" s="53"/>
      <c r="F196" s="53"/>
      <c r="G196" s="53"/>
    </row>
    <row r="197" spans="1:7" ht="14.25">
      <c r="A197" s="53"/>
      <c r="B197" s="53"/>
      <c r="C197" s="53"/>
      <c r="D197" s="53"/>
      <c r="E197" s="53"/>
      <c r="F197" s="53"/>
      <c r="G197" s="53"/>
    </row>
    <row r="198" spans="1:7" ht="14.25">
      <c r="A198" s="53"/>
      <c r="B198" s="53"/>
      <c r="C198" s="53"/>
      <c r="D198" s="53"/>
      <c r="E198" s="53"/>
      <c r="F198" s="53"/>
      <c r="G198" s="53"/>
    </row>
    <row r="199" spans="1:7" ht="14.25">
      <c r="A199" s="53"/>
      <c r="B199" s="53"/>
      <c r="C199" s="53"/>
      <c r="D199" s="53"/>
      <c r="E199" s="53"/>
      <c r="F199" s="53"/>
      <c r="G199" s="53"/>
    </row>
    <row r="200" spans="1:7" ht="14.25">
      <c r="A200" s="53"/>
      <c r="B200" s="53"/>
      <c r="C200" s="53"/>
      <c r="D200" s="53"/>
      <c r="E200" s="53"/>
      <c r="F200" s="53"/>
      <c r="G200" s="53"/>
    </row>
    <row r="201" spans="1:7" ht="14.25">
      <c r="A201" s="53"/>
      <c r="B201" s="53"/>
      <c r="C201" s="53"/>
      <c r="D201" s="53"/>
      <c r="E201" s="53"/>
      <c r="F201" s="53"/>
      <c r="G201" s="53"/>
    </row>
    <row r="202" spans="1:7" ht="14.25">
      <c r="A202" s="53"/>
      <c r="B202" s="53"/>
      <c r="C202" s="53"/>
      <c r="D202" s="53"/>
      <c r="E202" s="53"/>
      <c r="F202" s="53"/>
      <c r="G202" s="53"/>
    </row>
    <row r="203" spans="1:7" ht="14.25">
      <c r="A203" s="53"/>
      <c r="B203" s="53"/>
      <c r="C203" s="53"/>
      <c r="D203" s="53"/>
      <c r="E203" s="53"/>
      <c r="F203" s="53"/>
      <c r="G203" s="53"/>
    </row>
    <row r="204" spans="1:7" ht="14.25">
      <c r="A204" s="53"/>
      <c r="B204" s="53"/>
      <c r="C204" s="53"/>
      <c r="D204" s="53"/>
      <c r="E204" s="53"/>
      <c r="F204" s="53"/>
      <c r="G204" s="53"/>
    </row>
    <row r="205" spans="1:7" ht="14.25">
      <c r="A205" s="53"/>
      <c r="B205" s="53"/>
      <c r="C205" s="53"/>
      <c r="D205" s="53"/>
      <c r="E205" s="53"/>
      <c r="F205" s="53"/>
      <c r="G205" s="53"/>
    </row>
    <row r="206" spans="1:7" ht="14.25">
      <c r="A206" s="53"/>
      <c r="B206" s="53"/>
      <c r="C206" s="53"/>
      <c r="D206" s="53"/>
      <c r="E206" s="53"/>
      <c r="F206" s="53"/>
      <c r="G206" s="53"/>
    </row>
    <row r="207" spans="1:7" ht="14.25">
      <c r="A207" s="53"/>
      <c r="B207" s="53"/>
      <c r="C207" s="53"/>
      <c r="D207" s="53"/>
      <c r="E207" s="53"/>
      <c r="F207" s="53"/>
      <c r="G207" s="53"/>
    </row>
    <row r="208" spans="1:7" ht="14.25">
      <c r="A208" s="53"/>
      <c r="B208" s="53"/>
      <c r="C208" s="53"/>
      <c r="D208" s="53"/>
      <c r="E208" s="53"/>
      <c r="F208" s="53"/>
      <c r="G208" s="53"/>
    </row>
    <row r="209" spans="1:7" ht="14.25">
      <c r="A209" s="53"/>
      <c r="B209" s="53"/>
      <c r="C209" s="53"/>
      <c r="D209" s="53"/>
      <c r="E209" s="53"/>
      <c r="F209" s="53"/>
      <c r="G209" s="53"/>
    </row>
    <row r="210" spans="1:7" ht="14.25">
      <c r="A210" s="53"/>
      <c r="B210" s="53"/>
      <c r="C210" s="53"/>
      <c r="D210" s="53"/>
      <c r="E210" s="53"/>
      <c r="F210" s="53"/>
      <c r="G210" s="53"/>
    </row>
    <row r="211" spans="1:7" ht="14.25">
      <c r="A211" s="53"/>
      <c r="B211" s="53"/>
      <c r="C211" s="53"/>
      <c r="D211" s="53"/>
      <c r="E211" s="53"/>
      <c r="F211" s="53"/>
      <c r="G211" s="53"/>
    </row>
    <row r="212" spans="1:7" ht="14.25">
      <c r="A212" s="53"/>
      <c r="B212" s="53"/>
      <c r="C212" s="53"/>
      <c r="D212" s="53"/>
      <c r="E212" s="53"/>
      <c r="F212" s="53"/>
      <c r="G212" s="53"/>
    </row>
    <row r="213" spans="1:7" ht="14.25">
      <c r="A213" s="53"/>
      <c r="B213" s="53"/>
      <c r="C213" s="53"/>
      <c r="D213" s="53"/>
      <c r="E213" s="53"/>
      <c r="F213" s="53"/>
      <c r="G213" s="53"/>
    </row>
    <row r="214" spans="1:7" ht="14.25">
      <c r="A214" s="53"/>
      <c r="B214" s="53"/>
      <c r="C214" s="53"/>
      <c r="D214" s="53"/>
      <c r="E214" s="53"/>
      <c r="F214" s="53"/>
      <c r="G214" s="53"/>
    </row>
    <row r="215" spans="1:7" ht="14.25">
      <c r="A215" s="53"/>
      <c r="B215" s="53"/>
      <c r="C215" s="53"/>
      <c r="D215" s="53"/>
      <c r="E215" s="53"/>
      <c r="F215" s="53"/>
      <c r="G215" s="53"/>
    </row>
    <row r="216" spans="1:7" ht="14.25">
      <c r="A216" s="53"/>
      <c r="B216" s="53"/>
      <c r="C216" s="53"/>
      <c r="D216" s="53"/>
      <c r="E216" s="53"/>
      <c r="F216" s="53"/>
      <c r="G216" s="53"/>
    </row>
    <row r="217" spans="1:7" ht="14.25">
      <c r="A217" s="53"/>
      <c r="B217" s="53"/>
      <c r="C217" s="53"/>
      <c r="D217" s="53"/>
      <c r="E217" s="53"/>
      <c r="F217" s="53"/>
      <c r="G217" s="53"/>
    </row>
    <row r="218" spans="1:7" ht="14.25">
      <c r="A218" s="53"/>
      <c r="B218" s="53"/>
      <c r="C218" s="53"/>
      <c r="D218" s="53"/>
      <c r="E218" s="53"/>
      <c r="F218" s="53"/>
      <c r="G218" s="53"/>
    </row>
    <row r="219" spans="1:7" ht="14.25">
      <c r="A219" s="53"/>
      <c r="B219" s="53"/>
      <c r="C219" s="53"/>
      <c r="D219" s="53"/>
      <c r="E219" s="53"/>
      <c r="F219" s="53"/>
      <c r="G219" s="53"/>
    </row>
    <row r="220" spans="1:7" ht="14.25">
      <c r="A220" s="53"/>
      <c r="B220" s="53"/>
      <c r="C220" s="53"/>
      <c r="D220" s="53"/>
      <c r="E220" s="53"/>
      <c r="F220" s="53"/>
      <c r="G220" s="53"/>
    </row>
    <row r="221" spans="1:7" ht="14.25">
      <c r="A221" s="53"/>
      <c r="B221" s="53"/>
      <c r="C221" s="53"/>
      <c r="D221" s="53"/>
      <c r="E221" s="53"/>
      <c r="F221" s="53"/>
      <c r="G221" s="53"/>
    </row>
    <row r="222" spans="1:7" ht="14.25">
      <c r="A222" s="53"/>
      <c r="B222" s="53"/>
      <c r="C222" s="53"/>
      <c r="D222" s="53"/>
      <c r="E222" s="53"/>
      <c r="F222" s="53"/>
      <c r="G222" s="53"/>
    </row>
    <row r="223" spans="1:7" ht="14.25">
      <c r="A223" s="53"/>
      <c r="B223" s="53"/>
      <c r="C223" s="53"/>
      <c r="D223" s="53"/>
      <c r="E223" s="53"/>
      <c r="F223" s="53"/>
      <c r="G223" s="53"/>
    </row>
    <row r="224" spans="1:7" ht="14.25">
      <c r="A224" s="51"/>
      <c r="B224" s="51"/>
      <c r="C224" s="51"/>
      <c r="D224" s="51"/>
      <c r="E224" s="51"/>
      <c r="F224" s="51"/>
      <c r="G224" s="51"/>
    </row>
    <row r="225" spans="1:7" ht="14.25">
      <c r="A225" s="51"/>
      <c r="B225" s="51"/>
      <c r="C225" s="51"/>
      <c r="D225" s="51"/>
      <c r="E225" s="51"/>
      <c r="F225" s="51"/>
      <c r="G225" s="51"/>
    </row>
    <row r="226" spans="1:7" ht="14.25">
      <c r="A226" s="51"/>
      <c r="B226" s="51"/>
      <c r="C226" s="51"/>
      <c r="D226" s="51"/>
      <c r="E226" s="51"/>
      <c r="F226" s="51"/>
      <c r="G226" s="51"/>
    </row>
    <row r="227" spans="1:7" ht="14.25">
      <c r="A227" s="51"/>
      <c r="B227" s="51"/>
      <c r="C227" s="51"/>
      <c r="D227" s="51"/>
      <c r="E227" s="51"/>
      <c r="F227" s="51"/>
      <c r="G227" s="51"/>
    </row>
    <row r="228" spans="1:7" ht="14.25">
      <c r="A228" s="51"/>
      <c r="B228" s="51"/>
      <c r="C228" s="51"/>
      <c r="D228" s="51"/>
      <c r="E228" s="51"/>
      <c r="F228" s="51"/>
      <c r="G228" s="51"/>
    </row>
    <row r="229" spans="1:7" ht="14.25">
      <c r="A229" s="51"/>
      <c r="B229" s="51"/>
      <c r="C229" s="51"/>
      <c r="D229" s="51"/>
      <c r="E229" s="51"/>
      <c r="F229" s="51"/>
      <c r="G229" s="51"/>
    </row>
    <row r="230" spans="1:7" ht="14.25">
      <c r="A230" s="51"/>
      <c r="B230" s="51"/>
      <c r="C230" s="51"/>
      <c r="D230" s="51"/>
      <c r="E230" s="51"/>
      <c r="F230" s="51"/>
      <c r="G230" s="51"/>
    </row>
    <row r="231" spans="1:7" ht="14.25">
      <c r="A231" s="51"/>
      <c r="B231" s="51"/>
      <c r="C231" s="51"/>
      <c r="D231" s="51"/>
      <c r="E231" s="51"/>
      <c r="F231" s="51"/>
      <c r="G231" s="51"/>
    </row>
    <row r="232" spans="1:7" ht="14.25">
      <c r="A232" s="51"/>
      <c r="B232" s="51"/>
      <c r="C232" s="51"/>
      <c r="D232" s="51"/>
      <c r="E232" s="51"/>
      <c r="F232" s="51"/>
      <c r="G232" s="51"/>
    </row>
    <row r="233" spans="1:7" ht="14.25">
      <c r="A233" s="51"/>
      <c r="B233" s="51"/>
      <c r="C233" s="51"/>
      <c r="D233" s="51"/>
      <c r="E233" s="51"/>
      <c r="F233" s="51"/>
      <c r="G233" s="51"/>
    </row>
    <row r="234" spans="1:7" ht="14.25">
      <c r="A234" s="51"/>
      <c r="B234" s="51"/>
      <c r="C234" s="51"/>
      <c r="D234" s="51"/>
      <c r="E234" s="51"/>
      <c r="F234" s="51"/>
      <c r="G234" s="51"/>
    </row>
    <row r="235" spans="1:7" ht="14.25">
      <c r="A235" s="51"/>
      <c r="B235" s="51"/>
      <c r="C235" s="51"/>
      <c r="D235" s="51"/>
      <c r="E235" s="51"/>
      <c r="F235" s="51"/>
      <c r="G235" s="51"/>
    </row>
    <row r="236" spans="1:7" ht="14.25">
      <c r="A236" s="51"/>
      <c r="B236" s="51"/>
      <c r="C236" s="51"/>
      <c r="D236" s="51"/>
      <c r="E236" s="51"/>
      <c r="F236" s="51"/>
      <c r="G236" s="51"/>
    </row>
    <row r="237" spans="1:7" ht="14.25">
      <c r="A237" s="51"/>
      <c r="B237" s="51"/>
      <c r="C237" s="51"/>
      <c r="D237" s="51"/>
      <c r="E237" s="51"/>
      <c r="F237" s="51"/>
      <c r="G237" s="51"/>
    </row>
    <row r="238" spans="1:7" ht="14.25">
      <c r="A238" s="51"/>
      <c r="B238" s="51"/>
      <c r="C238" s="51"/>
      <c r="D238" s="51"/>
      <c r="E238" s="51"/>
      <c r="F238" s="51"/>
      <c r="G238" s="51"/>
    </row>
    <row r="239" spans="1:7" ht="14.25">
      <c r="A239" s="51"/>
      <c r="B239" s="51"/>
      <c r="C239" s="51"/>
      <c r="D239" s="51"/>
      <c r="E239" s="51"/>
      <c r="F239" s="51"/>
      <c r="G239" s="51"/>
    </row>
    <row r="240" spans="1:7" ht="14.25">
      <c r="A240" s="51"/>
      <c r="B240" s="51"/>
      <c r="C240" s="51"/>
      <c r="D240" s="51"/>
      <c r="E240" s="51"/>
      <c r="F240" s="51"/>
      <c r="G240" s="51"/>
    </row>
    <row r="241" spans="1:7" ht="14.25">
      <c r="A241" s="51"/>
      <c r="B241" s="51"/>
      <c r="C241" s="51"/>
      <c r="D241" s="51"/>
      <c r="E241" s="51"/>
      <c r="F241" s="51"/>
      <c r="G241" s="51"/>
    </row>
    <row r="242" spans="1:7" ht="14.25">
      <c r="A242" s="51"/>
      <c r="B242" s="51"/>
      <c r="C242" s="51"/>
      <c r="D242" s="51"/>
      <c r="E242" s="51"/>
      <c r="F242" s="51"/>
      <c r="G242" s="51"/>
    </row>
    <row r="243" spans="1:7" ht="14.25">
      <c r="A243" s="51"/>
      <c r="B243" s="51"/>
      <c r="C243" s="51"/>
      <c r="D243" s="51"/>
      <c r="E243" s="51"/>
      <c r="F243" s="51"/>
      <c r="G243" s="51"/>
    </row>
    <row r="244" spans="1:7" ht="14.25">
      <c r="A244" s="51"/>
      <c r="B244" s="51"/>
      <c r="C244" s="51"/>
      <c r="D244" s="51"/>
      <c r="E244" s="51"/>
      <c r="F244" s="51"/>
      <c r="G244" s="51"/>
    </row>
    <row r="245" spans="1:7" ht="14.25">
      <c r="A245" s="51"/>
      <c r="B245" s="51"/>
      <c r="C245" s="51"/>
      <c r="D245" s="51"/>
      <c r="E245" s="51"/>
      <c r="F245" s="51"/>
      <c r="G245" s="51"/>
    </row>
    <row r="246" spans="1:7" ht="14.25">
      <c r="A246" s="51"/>
      <c r="B246" s="51"/>
      <c r="C246" s="51"/>
      <c r="D246" s="51"/>
      <c r="E246" s="51"/>
      <c r="F246" s="51"/>
      <c r="G246" s="51"/>
    </row>
    <row r="247" spans="1:7" ht="14.25">
      <c r="A247" s="51"/>
      <c r="B247" s="51"/>
      <c r="C247" s="51"/>
      <c r="D247" s="51"/>
      <c r="E247" s="51"/>
      <c r="F247" s="51"/>
      <c r="G247" s="51"/>
    </row>
    <row r="248" spans="1:7" ht="14.25">
      <c r="A248" s="51"/>
      <c r="B248" s="51"/>
      <c r="C248" s="51"/>
      <c r="D248" s="51"/>
      <c r="E248" s="51"/>
      <c r="F248" s="51"/>
      <c r="G248" s="51"/>
    </row>
    <row r="249" spans="1:7" ht="14.25">
      <c r="A249" s="51"/>
      <c r="B249" s="51"/>
      <c r="C249" s="51"/>
      <c r="D249" s="51"/>
      <c r="E249" s="51"/>
      <c r="F249" s="51"/>
      <c r="G249" s="51"/>
    </row>
    <row r="250" spans="1:7" ht="14.25">
      <c r="A250" s="51"/>
      <c r="B250" s="51"/>
      <c r="C250" s="51"/>
      <c r="D250" s="51"/>
      <c r="E250" s="51"/>
      <c r="F250" s="51"/>
      <c r="G250" s="51"/>
    </row>
    <row r="251" spans="1:7" ht="14.25">
      <c r="A251" s="51"/>
      <c r="B251" s="51"/>
      <c r="C251" s="51"/>
      <c r="D251" s="51"/>
      <c r="E251" s="51"/>
      <c r="F251" s="51"/>
      <c r="G251" s="51"/>
    </row>
    <row r="252" spans="1:7" ht="14.25">
      <c r="A252" s="51"/>
      <c r="B252" s="51"/>
      <c r="C252" s="51"/>
      <c r="D252" s="51"/>
      <c r="E252" s="51"/>
      <c r="F252" s="51"/>
      <c r="G252" s="51"/>
    </row>
    <row r="253" spans="1:7" ht="14.25">
      <c r="A253" s="51"/>
      <c r="B253" s="51"/>
      <c r="C253" s="51"/>
      <c r="D253" s="51"/>
      <c r="E253" s="51"/>
      <c r="F253" s="51"/>
      <c r="G253" s="51"/>
    </row>
    <row r="254" spans="1:7" ht="14.25">
      <c r="A254" s="51"/>
      <c r="B254" s="51"/>
      <c r="C254" s="51"/>
      <c r="D254" s="51"/>
      <c r="E254" s="51"/>
      <c r="F254" s="51"/>
      <c r="G254" s="51"/>
    </row>
    <row r="255" spans="1:7" ht="14.25">
      <c r="A255" s="51"/>
      <c r="B255" s="51"/>
      <c r="C255" s="51"/>
      <c r="D255" s="51"/>
      <c r="E255" s="51"/>
      <c r="F255" s="51"/>
      <c r="G255" s="51"/>
    </row>
    <row r="256" spans="1:7" ht="14.25">
      <c r="A256" s="51"/>
      <c r="B256" s="51"/>
      <c r="C256" s="51"/>
      <c r="D256" s="51"/>
      <c r="E256" s="51"/>
      <c r="F256" s="51"/>
      <c r="G256" s="51"/>
    </row>
    <row r="257" spans="1:7" ht="14.25">
      <c r="A257" s="51"/>
      <c r="B257" s="51"/>
      <c r="C257" s="51"/>
      <c r="D257" s="51"/>
      <c r="E257" s="51"/>
      <c r="F257" s="51"/>
      <c r="G257" s="51"/>
    </row>
    <row r="258" spans="1:7" ht="14.25">
      <c r="A258" s="51"/>
      <c r="B258" s="51"/>
      <c r="C258" s="51"/>
      <c r="D258" s="51"/>
      <c r="E258" s="51"/>
      <c r="F258" s="51"/>
      <c r="G258" s="51"/>
    </row>
    <row r="259" spans="1:7" ht="14.25">
      <c r="A259" s="51"/>
      <c r="B259" s="51"/>
      <c r="C259" s="51"/>
      <c r="D259" s="51"/>
      <c r="E259" s="51"/>
      <c r="F259" s="51"/>
      <c r="G259" s="51"/>
    </row>
    <row r="260" spans="1:7" ht="14.25">
      <c r="A260" s="51"/>
      <c r="B260" s="51"/>
      <c r="C260" s="51"/>
      <c r="D260" s="51"/>
      <c r="E260" s="51"/>
      <c r="F260" s="51"/>
      <c r="G260" s="51"/>
    </row>
    <row r="261" spans="1:7" ht="14.25">
      <c r="A261" s="51"/>
      <c r="B261" s="51"/>
      <c r="C261" s="51"/>
      <c r="D261" s="51"/>
      <c r="E261" s="51"/>
      <c r="F261" s="51"/>
      <c r="G261" s="51"/>
    </row>
    <row r="262" spans="1:7" ht="14.25">
      <c r="A262" s="51"/>
      <c r="B262" s="51"/>
      <c r="C262" s="51"/>
      <c r="D262" s="51"/>
      <c r="E262" s="51"/>
      <c r="F262" s="51"/>
      <c r="G262" s="51"/>
    </row>
    <row r="263" spans="1:7" ht="14.25">
      <c r="A263" s="51"/>
      <c r="B263" s="51"/>
      <c r="C263" s="51"/>
      <c r="D263" s="51"/>
      <c r="E263" s="51"/>
      <c r="F263" s="51"/>
      <c r="G263" s="51"/>
    </row>
    <row r="264" spans="1:7" ht="14.25">
      <c r="A264" s="51"/>
      <c r="B264" s="51"/>
      <c r="C264" s="51"/>
      <c r="D264" s="51"/>
      <c r="E264" s="51"/>
      <c r="F264" s="51"/>
      <c r="G264" s="51"/>
    </row>
    <row r="265" spans="1:7" ht="14.25">
      <c r="A265" s="51"/>
      <c r="B265" s="51"/>
      <c r="C265" s="51"/>
      <c r="D265" s="51"/>
      <c r="E265" s="51"/>
      <c r="F265" s="51"/>
      <c r="G265" s="51"/>
    </row>
    <row r="266" spans="1:7" ht="14.25">
      <c r="A266" s="51"/>
      <c r="B266" s="51"/>
      <c r="C266" s="51"/>
      <c r="D266" s="51"/>
      <c r="E266" s="51"/>
      <c r="F266" s="51"/>
      <c r="G266" s="51"/>
    </row>
    <row r="267" spans="1:7" ht="14.25">
      <c r="A267" s="51"/>
      <c r="B267" s="51"/>
      <c r="C267" s="51"/>
      <c r="D267" s="51"/>
      <c r="E267" s="51"/>
      <c r="F267" s="51"/>
      <c r="G267" s="51"/>
    </row>
    <row r="268" spans="1:7" ht="14.25">
      <c r="A268" s="51"/>
      <c r="B268" s="51"/>
      <c r="C268" s="51"/>
      <c r="D268" s="51"/>
      <c r="E268" s="51"/>
      <c r="F268" s="51"/>
      <c r="G268" s="51"/>
    </row>
    <row r="269" spans="1:7" ht="14.25">
      <c r="A269" s="51"/>
      <c r="B269" s="51"/>
      <c r="C269" s="51"/>
      <c r="D269" s="51"/>
      <c r="E269" s="51"/>
      <c r="F269" s="51"/>
      <c r="G269" s="51"/>
    </row>
    <row r="270" spans="1:7" ht="14.25">
      <c r="A270" s="51"/>
      <c r="B270" s="51"/>
      <c r="C270" s="51"/>
      <c r="D270" s="51"/>
      <c r="E270" s="51"/>
      <c r="F270" s="51"/>
      <c r="G270" s="51"/>
    </row>
    <row r="271" spans="1:7" ht="14.25">
      <c r="A271" s="51"/>
      <c r="B271" s="51"/>
      <c r="C271" s="51"/>
      <c r="D271" s="51"/>
      <c r="E271" s="51"/>
      <c r="F271" s="51"/>
      <c r="G271" s="51"/>
    </row>
    <row r="272" spans="1:7" ht="14.25">
      <c r="A272" s="51"/>
      <c r="B272" s="51"/>
      <c r="C272" s="51"/>
      <c r="D272" s="51"/>
      <c r="E272" s="51"/>
      <c r="F272" s="51"/>
      <c r="G272" s="51"/>
    </row>
    <row r="273" spans="1:7" ht="14.25">
      <c r="A273" s="51"/>
      <c r="B273" s="51"/>
      <c r="C273" s="51"/>
      <c r="D273" s="51"/>
      <c r="E273" s="51"/>
      <c r="F273" s="51"/>
      <c r="G273" s="51"/>
    </row>
    <row r="274" spans="1:7" ht="14.25">
      <c r="A274" s="51"/>
      <c r="B274" s="51"/>
      <c r="C274" s="51"/>
      <c r="D274" s="51"/>
      <c r="E274" s="51"/>
      <c r="F274" s="51"/>
      <c r="G274" s="51"/>
    </row>
    <row r="275" spans="1:7" ht="14.25">
      <c r="A275" s="51"/>
      <c r="B275" s="51"/>
      <c r="C275" s="51"/>
      <c r="D275" s="51"/>
      <c r="E275" s="51"/>
      <c r="F275" s="51"/>
      <c r="G275" s="51"/>
    </row>
    <row r="276" spans="1:7" ht="14.25">
      <c r="A276" s="51"/>
      <c r="B276" s="51"/>
      <c r="C276" s="51"/>
      <c r="D276" s="51"/>
      <c r="E276" s="51"/>
      <c r="F276" s="51"/>
      <c r="G276" s="51"/>
    </row>
    <row r="277" spans="1:7" ht="14.25">
      <c r="A277" s="51"/>
      <c r="B277" s="51"/>
      <c r="C277" s="51"/>
      <c r="D277" s="51"/>
      <c r="E277" s="51"/>
      <c r="F277" s="51"/>
      <c r="G277" s="51"/>
    </row>
    <row r="278" spans="1:7" ht="14.25">
      <c r="A278" s="51"/>
      <c r="B278" s="51"/>
      <c r="C278" s="51"/>
      <c r="D278" s="51"/>
      <c r="E278" s="51"/>
      <c r="F278" s="51"/>
      <c r="G278" s="51"/>
    </row>
    <row r="279" spans="1:7" ht="14.25">
      <c r="A279" s="51"/>
      <c r="B279" s="51"/>
      <c r="C279" s="51"/>
      <c r="D279" s="51"/>
      <c r="E279" s="51"/>
      <c r="F279" s="51"/>
      <c r="G279" s="51"/>
    </row>
    <row r="280" spans="1:7" ht="14.25">
      <c r="A280" s="51"/>
      <c r="B280" s="51"/>
      <c r="C280" s="51"/>
      <c r="D280" s="51"/>
      <c r="E280" s="51"/>
      <c r="F280" s="51"/>
      <c r="G280" s="51"/>
    </row>
    <row r="281" spans="1:7" ht="14.25">
      <c r="A281" s="51"/>
      <c r="B281" s="51"/>
      <c r="C281" s="51"/>
      <c r="D281" s="51"/>
      <c r="E281" s="51"/>
      <c r="F281" s="51"/>
      <c r="G281" s="51"/>
    </row>
    <row r="282" spans="1:7" ht="14.25">
      <c r="A282" s="51"/>
      <c r="B282" s="51"/>
      <c r="C282" s="51"/>
      <c r="D282" s="51"/>
      <c r="E282" s="51"/>
      <c r="F282" s="51"/>
      <c r="G282" s="51"/>
    </row>
    <row r="283" spans="1:7" ht="14.25">
      <c r="A283" s="51"/>
      <c r="B283" s="51"/>
      <c r="C283" s="51"/>
      <c r="D283" s="51"/>
      <c r="E283" s="51"/>
      <c r="F283" s="51"/>
      <c r="G283" s="51"/>
    </row>
    <row r="284" spans="1:7" ht="14.25">
      <c r="A284" s="51"/>
      <c r="B284" s="51"/>
      <c r="C284" s="51"/>
      <c r="D284" s="51"/>
      <c r="E284" s="51"/>
      <c r="F284" s="51"/>
      <c r="G284" s="51"/>
    </row>
    <row r="285" spans="1:7" ht="14.25">
      <c r="A285" s="51"/>
      <c r="B285" s="51"/>
      <c r="C285" s="51"/>
      <c r="D285" s="51"/>
      <c r="E285" s="51"/>
      <c r="F285" s="51"/>
      <c r="G285" s="51"/>
    </row>
    <row r="286" spans="1:7" ht="14.25">
      <c r="A286" s="51"/>
      <c r="B286" s="51"/>
      <c r="C286" s="51"/>
      <c r="D286" s="51"/>
      <c r="E286" s="51"/>
      <c r="F286" s="51"/>
      <c r="G286" s="51"/>
    </row>
    <row r="287" spans="1:7" ht="14.25">
      <c r="A287" s="51"/>
      <c r="B287" s="51"/>
      <c r="C287" s="51"/>
      <c r="D287" s="51"/>
      <c r="E287" s="51"/>
      <c r="F287" s="51"/>
      <c r="G287" s="51"/>
    </row>
    <row r="288" spans="1:7" ht="14.25">
      <c r="A288" s="51"/>
      <c r="B288" s="51"/>
      <c r="C288" s="51"/>
      <c r="D288" s="51"/>
      <c r="E288" s="51"/>
      <c r="F288" s="51"/>
      <c r="G288" s="51"/>
    </row>
    <row r="289" spans="1:7" ht="14.25">
      <c r="A289" s="51"/>
      <c r="B289" s="51"/>
      <c r="C289" s="51"/>
      <c r="D289" s="51"/>
      <c r="E289" s="51"/>
      <c r="F289" s="51"/>
      <c r="G289" s="51"/>
    </row>
    <row r="290" spans="1:7" ht="14.25">
      <c r="A290" s="51"/>
      <c r="B290" s="51"/>
      <c r="C290" s="51"/>
      <c r="D290" s="51"/>
      <c r="E290" s="51"/>
      <c r="F290" s="51"/>
      <c r="G290" s="51"/>
    </row>
    <row r="291" spans="1:7" ht="14.25">
      <c r="A291" s="51"/>
      <c r="B291" s="51"/>
      <c r="C291" s="51"/>
      <c r="D291" s="51"/>
      <c r="E291" s="51"/>
      <c r="F291" s="51"/>
      <c r="G291" s="51"/>
    </row>
    <row r="292" spans="1:7" ht="14.25">
      <c r="A292" s="51"/>
      <c r="B292" s="51"/>
      <c r="C292" s="51"/>
      <c r="D292" s="51"/>
      <c r="E292" s="51"/>
      <c r="F292" s="51"/>
      <c r="G292" s="51"/>
    </row>
    <row r="293" spans="1:7" ht="14.25">
      <c r="A293" s="51"/>
      <c r="B293" s="51"/>
      <c r="C293" s="51"/>
      <c r="D293" s="51"/>
      <c r="E293" s="51"/>
      <c r="F293" s="51"/>
      <c r="G293" s="51"/>
    </row>
    <row r="294" spans="1:7" ht="14.25">
      <c r="A294" s="51"/>
      <c r="B294" s="51"/>
      <c r="C294" s="51"/>
      <c r="D294" s="51"/>
      <c r="E294" s="51"/>
      <c r="F294" s="51"/>
      <c r="G294" s="51"/>
    </row>
    <row r="295" spans="1:7" ht="14.25">
      <c r="A295" s="51"/>
      <c r="B295" s="51"/>
      <c r="C295" s="51"/>
      <c r="D295" s="51"/>
      <c r="E295" s="51"/>
      <c r="F295" s="51"/>
      <c r="G295" s="51"/>
    </row>
    <row r="296" spans="1:7" ht="14.25">
      <c r="A296" s="51"/>
      <c r="B296" s="51"/>
      <c r="C296" s="51"/>
      <c r="D296" s="51"/>
      <c r="E296" s="51"/>
      <c r="F296" s="51"/>
      <c r="G296" s="51"/>
    </row>
    <row r="297" spans="1:7" ht="14.25">
      <c r="A297" s="51"/>
      <c r="B297" s="51"/>
      <c r="C297" s="51"/>
      <c r="D297" s="51"/>
      <c r="E297" s="51"/>
      <c r="F297" s="51"/>
      <c r="G297" s="51"/>
    </row>
    <row r="298" spans="1:7" ht="14.25">
      <c r="A298" s="51"/>
      <c r="B298" s="51"/>
      <c r="C298" s="51"/>
      <c r="D298" s="51"/>
      <c r="E298" s="51"/>
      <c r="F298" s="51"/>
      <c r="G298" s="51"/>
    </row>
    <row r="299" spans="1:7" ht="14.25">
      <c r="A299" s="51"/>
      <c r="B299" s="51"/>
      <c r="C299" s="51"/>
      <c r="D299" s="51"/>
      <c r="E299" s="51"/>
      <c r="F299" s="51"/>
      <c r="G299" s="51"/>
    </row>
    <row r="300" spans="1:7" ht="14.25">
      <c r="A300" s="51"/>
      <c r="B300" s="51"/>
      <c r="C300" s="51"/>
      <c r="D300" s="51"/>
      <c r="E300" s="51"/>
      <c r="F300" s="51"/>
      <c r="G300" s="51"/>
    </row>
    <row r="301" spans="1:7" ht="14.25">
      <c r="A301" s="51"/>
      <c r="B301" s="51"/>
      <c r="C301" s="51"/>
      <c r="D301" s="51"/>
      <c r="E301" s="51"/>
      <c r="F301" s="51"/>
      <c r="G301" s="51"/>
    </row>
    <row r="302" spans="1:7" ht="14.25">
      <c r="A302" s="51"/>
      <c r="B302" s="51"/>
      <c r="C302" s="51"/>
      <c r="D302" s="51"/>
      <c r="E302" s="51"/>
      <c r="F302" s="51"/>
      <c r="G302" s="51"/>
    </row>
    <row r="303" spans="1:7" ht="14.25">
      <c r="A303" s="51"/>
      <c r="B303" s="51"/>
      <c r="C303" s="51"/>
      <c r="D303" s="51"/>
      <c r="E303" s="51"/>
      <c r="F303" s="51"/>
      <c r="G303" s="51"/>
    </row>
    <row r="304" spans="1:7" ht="14.25">
      <c r="A304" s="51"/>
      <c r="B304" s="51"/>
      <c r="C304" s="51"/>
      <c r="D304" s="51"/>
      <c r="E304" s="51"/>
      <c r="F304" s="51"/>
      <c r="G304" s="51"/>
    </row>
    <row r="305" spans="1:7" ht="14.25">
      <c r="A305" s="51"/>
      <c r="B305" s="51"/>
      <c r="C305" s="51"/>
      <c r="D305" s="51"/>
      <c r="E305" s="51"/>
      <c r="F305" s="51"/>
      <c r="G305" s="51"/>
    </row>
    <row r="306" spans="1:7" ht="14.25">
      <c r="A306" s="51"/>
      <c r="B306" s="51"/>
      <c r="C306" s="51"/>
      <c r="D306" s="51"/>
      <c r="E306" s="51"/>
      <c r="F306" s="51"/>
      <c r="G306" s="51"/>
    </row>
    <row r="307" spans="1:7" ht="14.25">
      <c r="A307" s="51"/>
      <c r="B307" s="51"/>
      <c r="C307" s="51"/>
      <c r="D307" s="51"/>
      <c r="E307" s="51"/>
      <c r="F307" s="51"/>
      <c r="G307" s="51"/>
    </row>
    <row r="308" spans="1:7" ht="14.25">
      <c r="A308" s="51"/>
      <c r="B308" s="51"/>
      <c r="C308" s="51"/>
      <c r="D308" s="51"/>
      <c r="E308" s="51"/>
      <c r="F308" s="51"/>
      <c r="G308" s="51"/>
    </row>
    <row r="309" spans="1:7" ht="14.25">
      <c r="A309" s="51"/>
      <c r="B309" s="51"/>
      <c r="C309" s="51"/>
      <c r="D309" s="51"/>
      <c r="E309" s="51"/>
      <c r="F309" s="51"/>
      <c r="G309" s="51"/>
    </row>
    <row r="310" spans="1:7" ht="14.25">
      <c r="A310" s="51"/>
      <c r="B310" s="51"/>
      <c r="C310" s="51"/>
      <c r="D310" s="51"/>
      <c r="E310" s="51"/>
      <c r="F310" s="51"/>
      <c r="G310" s="51"/>
    </row>
    <row r="311" spans="1:7" ht="14.25">
      <c r="A311" s="51"/>
      <c r="B311" s="51"/>
      <c r="C311" s="51"/>
      <c r="D311" s="51"/>
      <c r="E311" s="51"/>
      <c r="F311" s="51"/>
      <c r="G311" s="51"/>
    </row>
    <row r="312" spans="1:7" ht="14.25">
      <c r="A312" s="51"/>
      <c r="B312" s="51"/>
      <c r="C312" s="51"/>
      <c r="D312" s="51"/>
      <c r="E312" s="51"/>
      <c r="F312" s="51"/>
      <c r="G312" s="51"/>
    </row>
    <row r="313" spans="1:7" ht="14.25">
      <c r="A313" s="51"/>
      <c r="B313" s="51"/>
      <c r="C313" s="51"/>
      <c r="D313" s="51"/>
      <c r="E313" s="51"/>
      <c r="F313" s="51"/>
      <c r="G313" s="51"/>
    </row>
    <row r="314" spans="1:7" ht="14.25">
      <c r="A314" s="51"/>
      <c r="B314" s="51"/>
      <c r="C314" s="51"/>
      <c r="D314" s="51"/>
      <c r="E314" s="51"/>
      <c r="F314" s="51"/>
      <c r="G314" s="51"/>
    </row>
    <row r="315" spans="1:7" ht="14.25">
      <c r="A315" s="51"/>
      <c r="B315" s="51"/>
      <c r="C315" s="51"/>
      <c r="D315" s="51"/>
      <c r="E315" s="51"/>
      <c r="F315" s="51"/>
      <c r="G315" s="51"/>
    </row>
    <row r="316" spans="1:7" ht="14.25">
      <c r="A316" s="51"/>
      <c r="B316" s="51"/>
      <c r="C316" s="51"/>
      <c r="D316" s="51"/>
      <c r="E316" s="51"/>
      <c r="F316" s="51"/>
      <c r="G316" s="51"/>
    </row>
    <row r="317" spans="1:7" ht="14.25">
      <c r="A317" s="51"/>
      <c r="B317" s="51"/>
      <c r="C317" s="51"/>
      <c r="D317" s="51"/>
      <c r="E317" s="51"/>
      <c r="F317" s="51"/>
      <c r="G317" s="51"/>
    </row>
    <row r="318" spans="1:7" ht="14.25">
      <c r="A318" s="51"/>
      <c r="B318" s="51"/>
      <c r="C318" s="51"/>
      <c r="D318" s="51"/>
      <c r="E318" s="51"/>
      <c r="F318" s="51"/>
      <c r="G318" s="51"/>
    </row>
    <row r="319" spans="1:7" ht="14.25">
      <c r="A319" s="51"/>
      <c r="B319" s="51"/>
      <c r="C319" s="51"/>
      <c r="D319" s="51"/>
      <c r="E319" s="51"/>
      <c r="F319" s="51"/>
      <c r="G319" s="51"/>
    </row>
    <row r="320" spans="1:7" ht="14.25">
      <c r="A320" s="51"/>
      <c r="B320" s="51"/>
      <c r="C320" s="51"/>
      <c r="D320" s="51"/>
      <c r="E320" s="51"/>
      <c r="F320" s="51"/>
      <c r="G320" s="51"/>
    </row>
    <row r="321" spans="1:7" ht="14.25">
      <c r="A321" s="51"/>
      <c r="B321" s="51"/>
      <c r="C321" s="51"/>
      <c r="D321" s="51"/>
      <c r="E321" s="51"/>
      <c r="F321" s="51"/>
      <c r="G321" s="51"/>
    </row>
    <row r="322" spans="1:7" ht="14.25">
      <c r="A322" s="51"/>
      <c r="B322" s="51"/>
      <c r="C322" s="51"/>
      <c r="D322" s="51"/>
      <c r="E322" s="51"/>
      <c r="F322" s="51"/>
      <c r="G322" s="51"/>
    </row>
    <row r="323" spans="1:7" ht="14.25">
      <c r="A323" s="51"/>
      <c r="B323" s="51"/>
      <c r="C323" s="51"/>
      <c r="D323" s="51"/>
      <c r="E323" s="51"/>
      <c r="F323" s="51"/>
      <c r="G323" s="51"/>
    </row>
    <row r="324" spans="1:7" ht="14.25">
      <c r="A324" s="51"/>
      <c r="B324" s="51"/>
      <c r="C324" s="51"/>
      <c r="D324" s="51"/>
      <c r="E324" s="51"/>
      <c r="F324" s="51"/>
      <c r="G324" s="51"/>
    </row>
    <row r="325" spans="1:7" ht="14.25">
      <c r="A325" s="51"/>
      <c r="B325" s="51"/>
      <c r="C325" s="51"/>
      <c r="D325" s="51"/>
      <c r="E325" s="51"/>
      <c r="F325" s="51"/>
      <c r="G325" s="51"/>
    </row>
    <row r="326" spans="1:7" ht="14.25">
      <c r="A326" s="51"/>
      <c r="B326" s="51"/>
      <c r="C326" s="51"/>
      <c r="D326" s="51"/>
      <c r="E326" s="51"/>
      <c r="F326" s="51"/>
      <c r="G326" s="51"/>
    </row>
    <row r="327" spans="1:7" ht="14.25">
      <c r="A327" s="51"/>
      <c r="B327" s="51"/>
      <c r="C327" s="51"/>
      <c r="D327" s="51"/>
      <c r="E327" s="51"/>
      <c r="F327" s="51"/>
      <c r="G327" s="51"/>
    </row>
    <row r="328" spans="1:7" ht="14.25">
      <c r="A328" s="51"/>
      <c r="B328" s="51"/>
      <c r="C328" s="51"/>
      <c r="D328" s="51"/>
      <c r="E328" s="51"/>
      <c r="F328" s="51"/>
      <c r="G328" s="51"/>
    </row>
    <row r="329" spans="1:7" ht="14.25">
      <c r="A329" s="51"/>
      <c r="B329" s="51"/>
      <c r="C329" s="51"/>
      <c r="D329" s="51"/>
      <c r="E329" s="51"/>
      <c r="F329" s="51"/>
      <c r="G329" s="51"/>
    </row>
    <row r="330" spans="1:7" ht="14.25">
      <c r="A330" s="51"/>
      <c r="B330" s="51"/>
      <c r="C330" s="51"/>
      <c r="D330" s="51"/>
      <c r="E330" s="51"/>
      <c r="F330" s="51"/>
      <c r="G330" s="51"/>
    </row>
    <row r="331" spans="1:7" ht="14.25">
      <c r="A331" s="51"/>
      <c r="B331" s="51"/>
      <c r="C331" s="51"/>
      <c r="D331" s="51"/>
      <c r="E331" s="51"/>
      <c r="F331" s="51"/>
      <c r="G331" s="51"/>
    </row>
    <row r="332" spans="1:7" ht="14.25">
      <c r="A332" s="51"/>
      <c r="B332" s="51"/>
      <c r="C332" s="51"/>
      <c r="D332" s="51"/>
      <c r="E332" s="51"/>
      <c r="F332" s="51"/>
      <c r="G332" s="51"/>
    </row>
    <row r="333" spans="1:7" ht="14.25">
      <c r="A333" s="51"/>
      <c r="B333" s="51"/>
      <c r="C333" s="51"/>
      <c r="D333" s="51"/>
      <c r="E333" s="51"/>
      <c r="F333" s="51"/>
      <c r="G333" s="51"/>
    </row>
    <row r="334" spans="1:7" ht="14.25">
      <c r="A334" s="51"/>
      <c r="B334" s="51"/>
      <c r="C334" s="51"/>
      <c r="D334" s="51"/>
      <c r="E334" s="51"/>
      <c r="F334" s="51"/>
      <c r="G334" s="51"/>
    </row>
    <row r="335" spans="1:7" ht="14.25">
      <c r="A335" s="51"/>
      <c r="B335" s="51"/>
      <c r="C335" s="51"/>
      <c r="D335" s="51"/>
      <c r="E335" s="51"/>
      <c r="F335" s="51"/>
      <c r="G335" s="51"/>
    </row>
    <row r="336" spans="1:7" ht="14.25">
      <c r="A336" s="51"/>
      <c r="B336" s="51"/>
      <c r="C336" s="51"/>
      <c r="D336" s="51"/>
      <c r="E336" s="51"/>
      <c r="F336" s="51"/>
      <c r="G336" s="51"/>
    </row>
    <row r="337" spans="1:7" ht="14.25">
      <c r="A337" s="51"/>
      <c r="B337" s="51"/>
      <c r="C337" s="51"/>
      <c r="D337" s="51"/>
      <c r="E337" s="51"/>
      <c r="F337" s="51"/>
      <c r="G337" s="51"/>
    </row>
    <row r="338" spans="1:7" ht="14.25">
      <c r="A338" s="51"/>
      <c r="B338" s="51"/>
      <c r="C338" s="51"/>
      <c r="D338" s="51"/>
      <c r="E338" s="51"/>
      <c r="F338" s="51"/>
      <c r="G338" s="51"/>
    </row>
    <row r="339" spans="1:7" ht="14.25">
      <c r="A339" s="51"/>
      <c r="B339" s="51"/>
      <c r="C339" s="51"/>
      <c r="D339" s="51"/>
      <c r="E339" s="51"/>
      <c r="F339" s="51"/>
      <c r="G339" s="51"/>
    </row>
    <row r="340" spans="1:7" ht="14.25">
      <c r="A340" s="51"/>
      <c r="B340" s="51"/>
      <c r="C340" s="51"/>
      <c r="D340" s="51"/>
      <c r="E340" s="51"/>
      <c r="F340" s="51"/>
      <c r="G340" s="51"/>
    </row>
    <row r="341" spans="1:7" ht="14.25">
      <c r="A341" s="51"/>
      <c r="B341" s="51"/>
      <c r="C341" s="51"/>
      <c r="D341" s="51"/>
      <c r="E341" s="51"/>
      <c r="F341" s="51"/>
      <c r="G341" s="51"/>
    </row>
    <row r="342" spans="1:7" ht="14.25">
      <c r="A342" s="51"/>
      <c r="B342" s="51"/>
      <c r="C342" s="51"/>
      <c r="D342" s="51"/>
      <c r="E342" s="51"/>
      <c r="F342" s="51"/>
      <c r="G342" s="51"/>
    </row>
    <row r="343" spans="1:7" ht="14.25">
      <c r="A343" s="51"/>
      <c r="B343" s="51"/>
      <c r="C343" s="51"/>
      <c r="D343" s="51"/>
      <c r="E343" s="51"/>
      <c r="F343" s="51"/>
      <c r="G343" s="51"/>
    </row>
    <row r="344" spans="1:7" ht="14.25">
      <c r="A344" s="51"/>
      <c r="B344" s="51"/>
      <c r="C344" s="51"/>
      <c r="D344" s="51"/>
      <c r="E344" s="51"/>
      <c r="F344" s="51"/>
      <c r="G344" s="51"/>
    </row>
    <row r="345" spans="1:7" ht="14.25">
      <c r="A345" s="51"/>
      <c r="B345" s="51"/>
      <c r="C345" s="51"/>
      <c r="D345" s="51"/>
      <c r="E345" s="51"/>
      <c r="F345" s="51"/>
      <c r="G345" s="51"/>
    </row>
    <row r="346" spans="1:7" ht="14.25">
      <c r="A346" s="51"/>
      <c r="B346" s="51"/>
      <c r="C346" s="51"/>
      <c r="D346" s="51"/>
      <c r="E346" s="51"/>
      <c r="F346" s="51"/>
      <c r="G346" s="51"/>
    </row>
    <row r="347" spans="1:7" ht="14.25">
      <c r="A347" s="51"/>
      <c r="B347" s="51"/>
      <c r="C347" s="51"/>
      <c r="D347" s="51"/>
      <c r="E347" s="51"/>
      <c r="F347" s="51"/>
      <c r="G347" s="51"/>
    </row>
    <row r="348" spans="1:7" ht="14.25">
      <c r="A348" s="51"/>
      <c r="B348" s="51"/>
      <c r="C348" s="51"/>
      <c r="D348" s="51"/>
      <c r="E348" s="51"/>
      <c r="F348" s="51"/>
      <c r="G348" s="51"/>
    </row>
    <row r="349" spans="1:7" ht="14.25">
      <c r="A349" s="51"/>
      <c r="B349" s="51"/>
      <c r="C349" s="51"/>
      <c r="D349" s="51"/>
      <c r="E349" s="51"/>
      <c r="F349" s="51"/>
      <c r="G349" s="51"/>
    </row>
    <row r="350" spans="1:7" ht="14.25">
      <c r="A350" s="51"/>
      <c r="B350" s="51"/>
      <c r="C350" s="51"/>
      <c r="D350" s="51"/>
      <c r="E350" s="51"/>
      <c r="F350" s="51"/>
      <c r="G350" s="51"/>
    </row>
    <row r="351" spans="1:7" ht="14.25">
      <c r="A351" s="51"/>
      <c r="B351" s="51"/>
      <c r="C351" s="51"/>
      <c r="D351" s="51"/>
      <c r="E351" s="51"/>
      <c r="F351" s="51"/>
      <c r="G351" s="51"/>
    </row>
    <row r="352" spans="1:7" ht="14.25">
      <c r="A352" s="51"/>
      <c r="B352" s="51"/>
      <c r="C352" s="51"/>
      <c r="D352" s="51"/>
      <c r="E352" s="51"/>
      <c r="F352" s="51"/>
      <c r="G352" s="51"/>
    </row>
    <row r="353" spans="1:7" ht="14.25">
      <c r="A353" s="51"/>
      <c r="B353" s="51"/>
      <c r="C353" s="51"/>
      <c r="D353" s="51"/>
      <c r="E353" s="51"/>
      <c r="F353" s="51"/>
      <c r="G353" s="51"/>
    </row>
    <row r="354" spans="1:7" ht="14.25">
      <c r="A354" s="51"/>
      <c r="B354" s="51"/>
      <c r="C354" s="51"/>
      <c r="D354" s="51"/>
      <c r="E354" s="51"/>
      <c r="F354" s="51"/>
      <c r="G354" s="51"/>
    </row>
    <row r="355" spans="1:7" ht="14.25">
      <c r="A355" s="51"/>
      <c r="B355" s="51"/>
      <c r="C355" s="51"/>
      <c r="D355" s="51"/>
      <c r="E355" s="51"/>
      <c r="F355" s="51"/>
      <c r="G355" s="51"/>
    </row>
    <row r="356" spans="1:7" ht="14.25">
      <c r="A356" s="51"/>
      <c r="B356" s="51"/>
      <c r="C356" s="51"/>
      <c r="D356" s="51"/>
      <c r="E356" s="51"/>
      <c r="F356" s="51"/>
      <c r="G356" s="51"/>
    </row>
    <row r="357" spans="1:7" ht="14.25">
      <c r="A357" s="51"/>
      <c r="B357" s="51"/>
      <c r="C357" s="51"/>
      <c r="D357" s="51"/>
      <c r="E357" s="51"/>
      <c r="F357" s="51"/>
      <c r="G357" s="51"/>
    </row>
    <row r="358" spans="1:7" ht="14.25">
      <c r="A358" s="51"/>
      <c r="B358" s="51"/>
      <c r="C358" s="51"/>
      <c r="D358" s="51"/>
      <c r="E358" s="51"/>
      <c r="F358" s="51"/>
      <c r="G358" s="51"/>
    </row>
    <row r="359" spans="1:7" ht="14.25">
      <c r="A359" s="51"/>
      <c r="B359" s="51"/>
      <c r="C359" s="51"/>
      <c r="D359" s="51"/>
      <c r="E359" s="51"/>
      <c r="F359" s="51"/>
      <c r="G359" s="51"/>
    </row>
    <row r="360" spans="1:7" ht="14.25">
      <c r="A360" s="51"/>
      <c r="B360" s="51"/>
      <c r="C360" s="51"/>
      <c r="D360" s="51"/>
      <c r="E360" s="51"/>
      <c r="F360" s="51"/>
      <c r="G360" s="51"/>
    </row>
    <row r="361" spans="1:7" ht="14.25">
      <c r="A361" s="51"/>
      <c r="B361" s="51"/>
      <c r="C361" s="51"/>
      <c r="D361" s="51"/>
      <c r="E361" s="51"/>
      <c r="F361" s="51"/>
      <c r="G361" s="51"/>
    </row>
    <row r="362" spans="1:7" ht="14.25">
      <c r="A362" s="51"/>
      <c r="B362" s="51"/>
      <c r="C362" s="51"/>
      <c r="D362" s="51"/>
      <c r="E362" s="51"/>
      <c r="F362" s="51"/>
      <c r="G362" s="51"/>
    </row>
    <row r="363" spans="1:7" ht="14.25">
      <c r="A363" s="51"/>
      <c r="B363" s="51"/>
      <c r="C363" s="51"/>
      <c r="D363" s="51"/>
      <c r="E363" s="51"/>
      <c r="F363" s="51"/>
      <c r="G363" s="51"/>
    </row>
    <row r="364" spans="1:7" ht="14.25">
      <c r="A364" s="51"/>
      <c r="B364" s="51"/>
      <c r="C364" s="51"/>
      <c r="D364" s="51"/>
      <c r="E364" s="51"/>
      <c r="F364" s="51"/>
      <c r="G364" s="51"/>
    </row>
    <row r="365" spans="1:7" ht="14.25">
      <c r="A365" s="51"/>
      <c r="B365" s="51"/>
      <c r="C365" s="51"/>
      <c r="D365" s="51"/>
      <c r="E365" s="51"/>
      <c r="F365" s="51"/>
      <c r="G365" s="51"/>
    </row>
    <row r="366" spans="1:7" ht="14.25">
      <c r="A366" s="51"/>
      <c r="B366" s="51"/>
      <c r="C366" s="51"/>
      <c r="D366" s="51"/>
      <c r="E366" s="51"/>
      <c r="F366" s="51"/>
      <c r="G366" s="51"/>
    </row>
    <row r="367" spans="1:7" ht="14.25">
      <c r="A367" s="51"/>
      <c r="B367" s="51"/>
      <c r="C367" s="51"/>
      <c r="D367" s="51"/>
      <c r="E367" s="51"/>
      <c r="F367" s="51"/>
      <c r="G367" s="51"/>
    </row>
    <row r="368" spans="1:7" ht="14.25">
      <c r="A368" s="51"/>
      <c r="B368" s="51"/>
      <c r="C368" s="51"/>
      <c r="D368" s="51"/>
      <c r="E368" s="51"/>
      <c r="F368" s="51"/>
      <c r="G368" s="51"/>
    </row>
    <row r="369" spans="1:7" ht="14.25">
      <c r="A369" s="51"/>
      <c r="B369" s="51"/>
      <c r="C369" s="51"/>
      <c r="D369" s="51"/>
      <c r="E369" s="51"/>
      <c r="F369" s="51"/>
      <c r="G369" s="51"/>
    </row>
    <row r="370" spans="1:7" ht="14.25">
      <c r="A370" s="51"/>
      <c r="B370" s="51"/>
      <c r="C370" s="51"/>
      <c r="D370" s="51"/>
      <c r="E370" s="51"/>
      <c r="F370" s="51"/>
      <c r="G370" s="51"/>
    </row>
    <row r="371" spans="1:7" ht="14.25">
      <c r="A371" s="51"/>
      <c r="B371" s="51"/>
      <c r="C371" s="51"/>
      <c r="D371" s="51"/>
      <c r="E371" s="51"/>
      <c r="F371" s="51"/>
      <c r="G371" s="51"/>
    </row>
    <row r="372" spans="1:7" ht="14.25">
      <c r="A372" s="51"/>
      <c r="B372" s="51"/>
      <c r="C372" s="51"/>
      <c r="D372" s="51"/>
      <c r="E372" s="51"/>
      <c r="F372" s="51"/>
      <c r="G372" s="51"/>
    </row>
    <row r="373" spans="1:7" ht="14.25">
      <c r="A373" s="51"/>
      <c r="B373" s="51"/>
      <c r="C373" s="51"/>
      <c r="D373" s="51"/>
      <c r="E373" s="51"/>
      <c r="F373" s="51"/>
      <c r="G373" s="51"/>
    </row>
    <row r="374" spans="1:7" ht="14.25">
      <c r="A374" s="51"/>
      <c r="B374" s="51"/>
      <c r="C374" s="51"/>
      <c r="D374" s="51"/>
      <c r="E374" s="51"/>
      <c r="F374" s="51"/>
      <c r="G374" s="51"/>
    </row>
    <row r="375" spans="1:7" ht="14.25">
      <c r="A375" s="51"/>
      <c r="B375" s="51"/>
      <c r="C375" s="51"/>
      <c r="D375" s="51"/>
      <c r="E375" s="51"/>
      <c r="F375" s="51"/>
      <c r="G375" s="51"/>
    </row>
    <row r="376" spans="1:7" ht="14.25">
      <c r="A376" s="51"/>
      <c r="B376" s="51"/>
      <c r="C376" s="51"/>
      <c r="D376" s="51"/>
      <c r="E376" s="51"/>
      <c r="F376" s="51"/>
      <c r="G376" s="51"/>
    </row>
    <row r="377" spans="1:7" ht="14.25">
      <c r="A377" s="51"/>
      <c r="B377" s="51"/>
      <c r="C377" s="51"/>
      <c r="D377" s="51"/>
      <c r="E377" s="51"/>
      <c r="F377" s="51"/>
      <c r="G377" s="51"/>
    </row>
    <row r="378" spans="1:7" ht="14.25">
      <c r="A378" s="51"/>
      <c r="B378" s="51"/>
      <c r="C378" s="51"/>
      <c r="D378" s="51"/>
      <c r="E378" s="51"/>
      <c r="F378" s="51"/>
      <c r="G378" s="51"/>
    </row>
    <row r="379" spans="1:7" ht="14.25">
      <c r="A379" s="51"/>
      <c r="B379" s="51"/>
      <c r="C379" s="51"/>
      <c r="D379" s="51"/>
      <c r="E379" s="51"/>
      <c r="F379" s="51"/>
      <c r="G379" s="51"/>
    </row>
    <row r="380" spans="1:7" ht="14.25">
      <c r="A380" s="51"/>
      <c r="B380" s="51"/>
      <c r="C380" s="51"/>
      <c r="D380" s="51"/>
      <c r="E380" s="51"/>
      <c r="F380" s="51"/>
      <c r="G380" s="51"/>
    </row>
    <row r="381" spans="1:7" ht="14.25">
      <c r="A381" s="51"/>
      <c r="B381" s="51"/>
      <c r="C381" s="51"/>
      <c r="D381" s="51"/>
      <c r="E381" s="51"/>
      <c r="F381" s="51"/>
      <c r="G381" s="51"/>
    </row>
    <row r="382" spans="1:7" ht="14.25">
      <c r="A382" s="51"/>
      <c r="B382" s="51"/>
      <c r="C382" s="51"/>
      <c r="D382" s="51"/>
      <c r="E382" s="51"/>
      <c r="F382" s="51"/>
      <c r="G382" s="51"/>
    </row>
    <row r="383" spans="1:7" ht="14.25">
      <c r="A383" s="51"/>
      <c r="B383" s="51"/>
      <c r="C383" s="51"/>
      <c r="D383" s="51"/>
      <c r="E383" s="51"/>
      <c r="F383" s="51"/>
      <c r="G383" s="51"/>
    </row>
    <row r="384" spans="1:7" ht="14.25">
      <c r="A384" s="51"/>
      <c r="B384" s="51"/>
      <c r="C384" s="51"/>
      <c r="D384" s="51"/>
      <c r="E384" s="51"/>
      <c r="F384" s="51"/>
      <c r="G384" s="51"/>
    </row>
    <row r="385" spans="1:7" ht="14.25">
      <c r="A385" s="51"/>
      <c r="B385" s="51"/>
      <c r="C385" s="51"/>
      <c r="D385" s="51"/>
      <c r="E385" s="51"/>
      <c r="F385" s="51"/>
      <c r="G385" s="51"/>
    </row>
    <row r="386" spans="1:7" ht="14.25">
      <c r="A386" s="51"/>
      <c r="B386" s="51"/>
      <c r="C386" s="51"/>
      <c r="D386" s="51"/>
      <c r="E386" s="51"/>
      <c r="F386" s="51"/>
      <c r="G386" s="51"/>
    </row>
    <row r="387" spans="1:7" ht="14.25">
      <c r="A387" s="51"/>
      <c r="B387" s="51"/>
      <c r="C387" s="51"/>
      <c r="D387" s="51"/>
      <c r="E387" s="51"/>
      <c r="F387" s="51"/>
      <c r="G387" s="51"/>
    </row>
    <row r="388" spans="1:7" ht="14.25">
      <c r="A388" s="51"/>
      <c r="B388" s="51"/>
      <c r="C388" s="51"/>
      <c r="D388" s="51"/>
      <c r="E388" s="51"/>
      <c r="F388" s="51"/>
      <c r="G388" s="51"/>
    </row>
    <row r="389" spans="1:7" ht="14.25">
      <c r="A389" s="51"/>
      <c r="B389" s="51"/>
      <c r="C389" s="51"/>
      <c r="D389" s="51"/>
      <c r="E389" s="51"/>
      <c r="F389" s="51"/>
      <c r="G389" s="51"/>
    </row>
    <row r="390" spans="1:7" ht="14.25">
      <c r="A390" s="51"/>
      <c r="B390" s="51"/>
      <c r="C390" s="51"/>
      <c r="D390" s="51"/>
      <c r="E390" s="51"/>
      <c r="F390" s="51"/>
      <c r="G390" s="51"/>
    </row>
    <row r="391" spans="1:7" ht="14.25">
      <c r="A391" s="51"/>
      <c r="B391" s="51"/>
      <c r="C391" s="51"/>
      <c r="D391" s="51"/>
      <c r="E391" s="51"/>
      <c r="F391" s="51"/>
      <c r="G391" s="51"/>
    </row>
    <row r="392" spans="1:7" ht="14.25">
      <c r="A392" s="51"/>
      <c r="B392" s="51"/>
      <c r="C392" s="51"/>
      <c r="D392" s="51"/>
      <c r="E392" s="51"/>
      <c r="F392" s="51"/>
      <c r="G392" s="51"/>
    </row>
    <row r="393" spans="1:7" ht="14.25">
      <c r="A393" s="51"/>
      <c r="B393" s="51"/>
      <c r="C393" s="51"/>
      <c r="D393" s="51"/>
      <c r="E393" s="51"/>
      <c r="F393" s="51"/>
      <c r="G393" s="51"/>
    </row>
    <row r="394" spans="1:7" ht="14.25">
      <c r="A394" s="51"/>
      <c r="B394" s="51"/>
      <c r="C394" s="51"/>
      <c r="D394" s="51"/>
      <c r="E394" s="51"/>
      <c r="F394" s="51"/>
      <c r="G394" s="51"/>
    </row>
    <row r="395" spans="1:7" ht="14.25">
      <c r="A395" s="51"/>
      <c r="B395" s="51"/>
      <c r="C395" s="51"/>
      <c r="D395" s="51"/>
      <c r="E395" s="51"/>
      <c r="F395" s="51"/>
      <c r="G395" s="51"/>
    </row>
    <row r="396" spans="1:7" ht="14.25">
      <c r="A396" s="51"/>
      <c r="B396" s="51"/>
      <c r="C396" s="51"/>
      <c r="D396" s="51"/>
      <c r="E396" s="51"/>
      <c r="F396" s="51"/>
      <c r="G396" s="51"/>
    </row>
    <row r="397" spans="1:7" ht="14.25">
      <c r="A397" s="51"/>
      <c r="B397" s="51"/>
      <c r="C397" s="51"/>
      <c r="D397" s="51"/>
      <c r="E397" s="51"/>
      <c r="F397" s="51"/>
      <c r="G397" s="51"/>
    </row>
    <row r="398" spans="1:7" ht="14.25">
      <c r="A398" s="51"/>
      <c r="B398" s="51"/>
      <c r="C398" s="51"/>
      <c r="D398" s="51"/>
      <c r="E398" s="51"/>
      <c r="F398" s="51"/>
      <c r="G398" s="51"/>
    </row>
    <row r="399" spans="1:7" ht="14.25">
      <c r="A399" s="51"/>
      <c r="B399" s="51"/>
      <c r="C399" s="51"/>
      <c r="D399" s="51"/>
      <c r="E399" s="51"/>
      <c r="F399" s="51"/>
      <c r="G399" s="51"/>
    </row>
    <row r="400" spans="1:7" ht="14.25">
      <c r="A400" s="51"/>
      <c r="B400" s="51"/>
      <c r="C400" s="51"/>
      <c r="D400" s="51"/>
      <c r="E400" s="51"/>
      <c r="F400" s="51"/>
      <c r="G400" s="51"/>
    </row>
    <row r="401" spans="1:7" ht="14.25">
      <c r="A401" s="51"/>
      <c r="B401" s="51"/>
      <c r="C401" s="51"/>
      <c r="D401" s="51"/>
      <c r="E401" s="51"/>
      <c r="F401" s="51"/>
      <c r="G401" s="51"/>
    </row>
    <row r="402" spans="1:7" ht="14.25">
      <c r="A402" s="51"/>
      <c r="B402" s="51"/>
      <c r="C402" s="51"/>
      <c r="D402" s="51"/>
      <c r="E402" s="51"/>
      <c r="F402" s="51"/>
      <c r="G402" s="51"/>
    </row>
    <row r="403" spans="1:7" ht="14.25">
      <c r="A403" s="51"/>
      <c r="B403" s="51"/>
      <c r="C403" s="51"/>
      <c r="D403" s="51"/>
      <c r="E403" s="51"/>
      <c r="F403" s="51"/>
      <c r="G403" s="51"/>
    </row>
    <row r="404" spans="1:7" ht="14.25">
      <c r="A404" s="51"/>
      <c r="B404" s="51"/>
      <c r="C404" s="51"/>
      <c r="D404" s="51"/>
      <c r="E404" s="51"/>
      <c r="F404" s="51"/>
      <c r="G404" s="51"/>
    </row>
    <row r="405" spans="1:7" ht="14.25">
      <c r="A405" s="51"/>
      <c r="B405" s="51"/>
      <c r="C405" s="51"/>
      <c r="D405" s="51"/>
      <c r="E405" s="51"/>
      <c r="F405" s="51"/>
      <c r="G405" s="51"/>
    </row>
    <row r="406" spans="1:7" ht="14.25">
      <c r="A406" s="51"/>
      <c r="B406" s="51"/>
      <c r="C406" s="51"/>
      <c r="D406" s="51"/>
      <c r="E406" s="51"/>
      <c r="F406" s="51"/>
      <c r="G406" s="51"/>
    </row>
    <row r="407" spans="1:7" ht="14.25">
      <c r="A407" s="51"/>
      <c r="B407" s="51"/>
      <c r="C407" s="51"/>
      <c r="D407" s="51"/>
      <c r="E407" s="51"/>
      <c r="F407" s="51"/>
      <c r="G407" s="51"/>
    </row>
    <row r="408" spans="1:7" ht="14.25">
      <c r="A408" s="51"/>
      <c r="B408" s="51"/>
      <c r="C408" s="51"/>
      <c r="D408" s="51"/>
      <c r="E408" s="51"/>
      <c r="F408" s="51"/>
      <c r="G408" s="51"/>
    </row>
    <row r="409" spans="1:7" ht="14.25">
      <c r="A409" s="51"/>
      <c r="B409" s="51"/>
      <c r="C409" s="51"/>
      <c r="D409" s="51"/>
      <c r="E409" s="51"/>
      <c r="F409" s="51"/>
      <c r="G409" s="51"/>
    </row>
    <row r="410" spans="1:7" ht="14.25">
      <c r="A410" s="51"/>
      <c r="B410" s="51"/>
      <c r="C410" s="51"/>
      <c r="D410" s="51"/>
      <c r="E410" s="51"/>
      <c r="F410" s="51"/>
      <c r="G410" s="51"/>
    </row>
    <row r="411" spans="1:7" ht="14.25">
      <c r="A411" s="51"/>
      <c r="B411" s="51"/>
      <c r="C411" s="51"/>
      <c r="D411" s="51"/>
      <c r="E411" s="51"/>
      <c r="F411" s="51"/>
      <c r="G411" s="51"/>
    </row>
    <row r="412" spans="1:7" ht="14.25">
      <c r="A412" s="51"/>
      <c r="B412" s="51"/>
      <c r="C412" s="51"/>
      <c r="D412" s="51"/>
      <c r="E412" s="51"/>
      <c r="F412" s="51"/>
      <c r="G412" s="51"/>
    </row>
    <row r="413" spans="1:7" ht="14.25">
      <c r="A413" s="51"/>
      <c r="B413" s="51"/>
      <c r="C413" s="51"/>
      <c r="D413" s="51"/>
      <c r="E413" s="51"/>
      <c r="F413" s="51"/>
      <c r="G413" s="51"/>
    </row>
    <row r="414" spans="1:7" ht="14.25">
      <c r="A414" s="51"/>
      <c r="B414" s="51"/>
      <c r="C414" s="51"/>
      <c r="D414" s="51"/>
      <c r="E414" s="51"/>
      <c r="F414" s="51"/>
      <c r="G414" s="51"/>
    </row>
    <row r="415" spans="1:7" ht="14.25">
      <c r="A415" s="51"/>
      <c r="B415" s="51"/>
      <c r="C415" s="51"/>
      <c r="D415" s="51"/>
      <c r="E415" s="51"/>
      <c r="F415" s="51"/>
      <c r="G415" s="51"/>
    </row>
    <row r="416" spans="1:7" ht="14.25">
      <c r="A416" s="51"/>
      <c r="B416" s="51"/>
      <c r="C416" s="51"/>
      <c r="D416" s="51"/>
      <c r="E416" s="51"/>
      <c r="F416" s="51"/>
      <c r="G416" s="51"/>
    </row>
    <row r="417" spans="1:7" ht="14.25">
      <c r="A417" s="51"/>
      <c r="B417" s="51"/>
      <c r="C417" s="51"/>
      <c r="D417" s="51"/>
      <c r="E417" s="51"/>
      <c r="F417" s="51"/>
      <c r="G417" s="51"/>
    </row>
    <row r="418" spans="1:7" ht="14.25">
      <c r="A418" s="51"/>
      <c r="B418" s="51"/>
      <c r="C418" s="51"/>
      <c r="D418" s="51"/>
      <c r="E418" s="51"/>
      <c r="F418" s="51"/>
      <c r="G418" s="51"/>
    </row>
    <row r="419" spans="1:7" ht="14.25">
      <c r="A419" s="51"/>
      <c r="B419" s="51"/>
      <c r="C419" s="51"/>
      <c r="D419" s="51"/>
      <c r="E419" s="51"/>
      <c r="F419" s="51"/>
      <c r="G419" s="51"/>
    </row>
    <row r="420" spans="1:7" ht="14.25">
      <c r="A420" s="51"/>
      <c r="B420" s="51"/>
      <c r="C420" s="51"/>
      <c r="D420" s="51"/>
      <c r="E420" s="51"/>
      <c r="F420" s="51"/>
      <c r="G420" s="51"/>
    </row>
    <row r="421" spans="1:7" ht="14.25">
      <c r="A421" s="51"/>
      <c r="B421" s="51"/>
      <c r="C421" s="51"/>
      <c r="D421" s="51"/>
      <c r="E421" s="51"/>
      <c r="F421" s="51"/>
      <c r="G421" s="51"/>
    </row>
    <row r="422" spans="1:7" ht="14.25">
      <c r="A422" s="51"/>
      <c r="B422" s="51"/>
      <c r="C422" s="51"/>
      <c r="D422" s="51"/>
      <c r="E422" s="51"/>
      <c r="F422" s="51"/>
      <c r="G422" s="51"/>
    </row>
    <row r="423" spans="1:7" ht="14.25">
      <c r="A423" s="51"/>
      <c r="B423" s="51"/>
      <c r="C423" s="51"/>
      <c r="D423" s="51"/>
      <c r="E423" s="51"/>
      <c r="F423" s="51"/>
      <c r="G423" s="51"/>
    </row>
    <row r="424" spans="1:7" ht="14.25">
      <c r="A424" s="51"/>
      <c r="B424" s="51"/>
      <c r="C424" s="51"/>
      <c r="D424" s="51"/>
      <c r="E424" s="51"/>
      <c r="F424" s="51"/>
      <c r="G424" s="51"/>
    </row>
    <row r="425" spans="1:7" ht="14.25">
      <c r="A425" s="51"/>
      <c r="B425" s="51"/>
      <c r="C425" s="51"/>
      <c r="D425" s="51"/>
      <c r="E425" s="51"/>
      <c r="F425" s="51"/>
      <c r="G425" s="51"/>
    </row>
    <row r="426" spans="1:7" ht="14.25">
      <c r="A426" s="51"/>
      <c r="B426" s="51"/>
      <c r="C426" s="51"/>
      <c r="D426" s="51"/>
      <c r="E426" s="51"/>
      <c r="F426" s="51"/>
      <c r="G426" s="51"/>
    </row>
    <row r="427" spans="1:7" ht="14.25">
      <c r="A427" s="51"/>
      <c r="B427" s="51"/>
      <c r="C427" s="51"/>
      <c r="D427" s="51"/>
      <c r="E427" s="51"/>
      <c r="F427" s="51"/>
      <c r="G427" s="51"/>
    </row>
    <row r="428" spans="1:7" ht="14.25">
      <c r="A428" s="51"/>
      <c r="B428" s="51"/>
      <c r="C428" s="51"/>
      <c r="D428" s="51"/>
      <c r="E428" s="51"/>
      <c r="F428" s="51"/>
      <c r="G428" s="51"/>
    </row>
    <row r="429" spans="1:7" ht="14.25">
      <c r="A429" s="51"/>
      <c r="B429" s="51"/>
      <c r="C429" s="51"/>
      <c r="D429" s="51"/>
      <c r="E429" s="51"/>
      <c r="F429" s="51"/>
      <c r="G429" s="51"/>
    </row>
    <row r="430" spans="1:7" ht="14.25">
      <c r="A430" s="51"/>
      <c r="B430" s="51"/>
      <c r="C430" s="51"/>
      <c r="D430" s="51"/>
      <c r="E430" s="51"/>
      <c r="F430" s="51"/>
      <c r="G430" s="51"/>
    </row>
    <row r="431" spans="1:7" ht="14.25">
      <c r="A431" s="51"/>
      <c r="B431" s="51"/>
      <c r="C431" s="51"/>
      <c r="D431" s="51"/>
      <c r="E431" s="51"/>
      <c r="F431" s="51"/>
      <c r="G431" s="51"/>
    </row>
    <row r="432" spans="1:7" ht="14.25">
      <c r="A432" s="51"/>
      <c r="B432" s="51"/>
      <c r="C432" s="51"/>
      <c r="D432" s="51"/>
      <c r="E432" s="51"/>
      <c r="F432" s="51"/>
      <c r="G432" s="51"/>
    </row>
    <row r="433" spans="1:7" ht="14.25">
      <c r="A433" s="51"/>
      <c r="B433" s="51"/>
      <c r="C433" s="51"/>
      <c r="D433" s="51"/>
      <c r="E433" s="51"/>
      <c r="F433" s="51"/>
      <c r="G433" s="51"/>
    </row>
    <row r="434" spans="1:7" ht="14.25">
      <c r="A434" s="51"/>
      <c r="B434" s="51"/>
      <c r="C434" s="51"/>
      <c r="D434" s="51"/>
      <c r="E434" s="51"/>
      <c r="F434" s="51"/>
      <c r="G434" s="51"/>
    </row>
    <row r="435" spans="1:7" ht="14.25">
      <c r="A435" s="51"/>
      <c r="B435" s="51"/>
      <c r="C435" s="51"/>
      <c r="D435" s="51"/>
      <c r="E435" s="51"/>
      <c r="F435" s="51"/>
      <c r="G435" s="51"/>
    </row>
    <row r="436" spans="1:7" ht="14.25">
      <c r="A436" s="51"/>
      <c r="B436" s="51"/>
      <c r="C436" s="51"/>
      <c r="D436" s="51"/>
      <c r="E436" s="51"/>
      <c r="F436" s="51"/>
      <c r="G436" s="51"/>
    </row>
    <row r="437" spans="1:7" ht="14.25">
      <c r="A437" s="51"/>
      <c r="B437" s="51"/>
      <c r="C437" s="51"/>
      <c r="D437" s="51"/>
      <c r="E437" s="51"/>
      <c r="F437" s="51"/>
      <c r="G437" s="51"/>
    </row>
    <row r="438" spans="1:7" ht="14.25">
      <c r="A438" s="51"/>
      <c r="B438" s="51"/>
      <c r="C438" s="51"/>
      <c r="D438" s="51"/>
      <c r="E438" s="51"/>
      <c r="F438" s="51"/>
      <c r="G438" s="51"/>
    </row>
    <row r="439" spans="1:7" ht="14.25">
      <c r="A439" s="51"/>
      <c r="B439" s="51"/>
      <c r="C439" s="51"/>
      <c r="D439" s="51"/>
      <c r="E439" s="51"/>
      <c r="F439" s="51"/>
      <c r="G439" s="51"/>
    </row>
    <row r="440" spans="1:7" ht="14.25">
      <c r="A440" s="51"/>
      <c r="B440" s="51"/>
      <c r="C440" s="51"/>
      <c r="D440" s="51"/>
      <c r="E440" s="51"/>
      <c r="F440" s="51"/>
      <c r="G440" s="51"/>
    </row>
    <row r="441" spans="1:7" ht="14.25">
      <c r="A441" s="51"/>
      <c r="B441" s="51"/>
      <c r="C441" s="51"/>
      <c r="D441" s="51"/>
      <c r="E441" s="51"/>
      <c r="F441" s="51"/>
      <c r="G441" s="51"/>
    </row>
    <row r="442" spans="1:7" ht="14.25">
      <c r="A442" s="51"/>
      <c r="B442" s="51"/>
      <c r="C442" s="51"/>
      <c r="D442" s="51"/>
      <c r="E442" s="51"/>
      <c r="F442" s="51"/>
      <c r="G442" s="51"/>
    </row>
    <row r="443" spans="1:7" ht="14.25">
      <c r="A443" s="51"/>
      <c r="B443" s="51"/>
      <c r="C443" s="51"/>
      <c r="D443" s="51"/>
      <c r="E443" s="51"/>
      <c r="F443" s="51"/>
      <c r="G443" s="51"/>
    </row>
    <row r="444" spans="1:7" ht="14.25">
      <c r="A444" s="51"/>
      <c r="B444" s="51"/>
      <c r="C444" s="51"/>
      <c r="D444" s="51"/>
      <c r="E444" s="51"/>
      <c r="F444" s="51"/>
      <c r="G444" s="51"/>
    </row>
    <row r="445" spans="1:7" ht="14.25">
      <c r="A445" s="51"/>
      <c r="B445" s="51"/>
      <c r="C445" s="51"/>
      <c r="D445" s="51"/>
      <c r="E445" s="51"/>
      <c r="F445" s="51"/>
      <c r="G445" s="51"/>
    </row>
    <row r="446" spans="1:7" ht="14.25">
      <c r="A446" s="51"/>
      <c r="B446" s="51"/>
      <c r="C446" s="51"/>
      <c r="D446" s="51"/>
      <c r="E446" s="51"/>
      <c r="F446" s="51"/>
      <c r="G446" s="51"/>
    </row>
    <row r="447" spans="1:7" ht="14.25">
      <c r="A447" s="51"/>
      <c r="B447" s="51"/>
      <c r="C447" s="51"/>
      <c r="D447" s="51"/>
      <c r="E447" s="51"/>
      <c r="F447" s="51"/>
      <c r="G447" s="51"/>
    </row>
    <row r="448" spans="1:7" ht="14.25">
      <c r="A448" s="51"/>
      <c r="B448" s="51"/>
      <c r="C448" s="51"/>
      <c r="D448" s="51"/>
      <c r="E448" s="51"/>
      <c r="F448" s="51"/>
      <c r="G448" s="51"/>
    </row>
    <row r="449" spans="1:7" ht="14.25">
      <c r="A449" s="51"/>
      <c r="B449" s="51"/>
      <c r="C449" s="51"/>
      <c r="D449" s="51"/>
      <c r="E449" s="51"/>
      <c r="F449" s="51"/>
      <c r="G449" s="51"/>
    </row>
    <row r="450" spans="1:7" ht="14.25">
      <c r="A450" s="51"/>
      <c r="B450" s="51"/>
      <c r="C450" s="51"/>
      <c r="D450" s="51"/>
      <c r="E450" s="51"/>
      <c r="F450" s="51"/>
      <c r="G450" s="51"/>
    </row>
    <row r="451" spans="1:7" ht="14.25">
      <c r="A451" s="51"/>
      <c r="B451" s="51"/>
      <c r="C451" s="51"/>
      <c r="D451" s="51"/>
      <c r="E451" s="51"/>
      <c r="F451" s="51"/>
      <c r="G451" s="51"/>
    </row>
    <row r="452" spans="1:7" ht="14.25">
      <c r="A452" s="51"/>
      <c r="B452" s="51"/>
      <c r="C452" s="51"/>
      <c r="D452" s="51"/>
      <c r="E452" s="51"/>
      <c r="F452" s="51"/>
      <c r="G452" s="51"/>
    </row>
    <row r="453" spans="1:7" ht="14.25">
      <c r="A453" s="51"/>
      <c r="B453" s="51"/>
      <c r="C453" s="51"/>
      <c r="D453" s="51"/>
      <c r="E453" s="51"/>
      <c r="F453" s="51"/>
      <c r="G453" s="51"/>
    </row>
    <row r="454" spans="1:7" ht="14.25">
      <c r="A454" s="51"/>
      <c r="B454" s="51"/>
      <c r="C454" s="51"/>
      <c r="D454" s="51"/>
      <c r="E454" s="51"/>
      <c r="F454" s="51"/>
      <c r="G454" s="51"/>
    </row>
    <row r="455" spans="1:7" ht="14.25">
      <c r="A455" s="51"/>
      <c r="B455" s="51"/>
      <c r="C455" s="51"/>
      <c r="D455" s="51"/>
      <c r="E455" s="51"/>
      <c r="F455" s="51"/>
      <c r="G455" s="51"/>
    </row>
    <row r="456" spans="1:7" ht="14.25">
      <c r="A456" s="51"/>
      <c r="B456" s="51"/>
      <c r="C456" s="51"/>
      <c r="D456" s="51"/>
      <c r="E456" s="51"/>
      <c r="F456" s="51"/>
      <c r="G456" s="51"/>
    </row>
    <row r="457" spans="1:7" ht="14.25">
      <c r="A457" s="51"/>
      <c r="B457" s="51"/>
      <c r="C457" s="51"/>
      <c r="D457" s="51"/>
      <c r="E457" s="51"/>
      <c r="F457" s="51"/>
      <c r="G457" s="51"/>
    </row>
    <row r="458" spans="1:7" ht="14.25">
      <c r="A458" s="51"/>
      <c r="B458" s="51"/>
      <c r="C458" s="51"/>
      <c r="D458" s="51"/>
      <c r="E458" s="51"/>
      <c r="F458" s="51"/>
      <c r="G458" s="51"/>
    </row>
    <row r="459" spans="1:7" ht="14.25">
      <c r="A459" s="51"/>
      <c r="B459" s="51"/>
      <c r="C459" s="51"/>
      <c r="D459" s="51"/>
      <c r="E459" s="51"/>
      <c r="F459" s="51"/>
      <c r="G459" s="51"/>
    </row>
    <row r="460" spans="1:7" ht="14.25">
      <c r="A460" s="51"/>
      <c r="B460" s="51"/>
      <c r="C460" s="51"/>
      <c r="D460" s="51"/>
      <c r="E460" s="51"/>
      <c r="F460" s="51"/>
      <c r="G460" s="51"/>
    </row>
    <row r="461" spans="1:7" ht="14.25">
      <c r="A461" s="51"/>
      <c r="B461" s="51"/>
      <c r="C461" s="51"/>
      <c r="D461" s="51"/>
      <c r="E461" s="51"/>
      <c r="F461" s="51"/>
      <c r="G461" s="51"/>
    </row>
    <row r="462" spans="1:7" ht="14.25">
      <c r="A462" s="51"/>
      <c r="B462" s="51"/>
      <c r="C462" s="51"/>
      <c r="D462" s="51"/>
      <c r="E462" s="51"/>
      <c r="F462" s="51"/>
      <c r="G462" s="51"/>
    </row>
    <row r="463" spans="1:7" ht="14.25">
      <c r="A463" s="51"/>
      <c r="B463" s="51"/>
      <c r="C463" s="51"/>
      <c r="D463" s="51"/>
      <c r="E463" s="51"/>
      <c r="F463" s="51"/>
      <c r="G463" s="51"/>
    </row>
    <row r="464" spans="1:7" ht="14.25">
      <c r="A464" s="51"/>
      <c r="B464" s="51"/>
      <c r="C464" s="51"/>
      <c r="D464" s="51"/>
      <c r="E464" s="51"/>
      <c r="F464" s="51"/>
      <c r="G464" s="51"/>
    </row>
    <row r="465" spans="1:7" ht="14.25">
      <c r="A465" s="51"/>
      <c r="B465" s="51"/>
      <c r="C465" s="51"/>
      <c r="D465" s="51"/>
      <c r="E465" s="51"/>
      <c r="F465" s="51"/>
      <c r="G465" s="51"/>
    </row>
    <row r="466" spans="1:7" ht="14.25">
      <c r="A466" s="51"/>
      <c r="B466" s="51"/>
      <c r="C466" s="51"/>
      <c r="D466" s="51"/>
      <c r="E466" s="51"/>
      <c r="F466" s="51"/>
      <c r="G466" s="51"/>
    </row>
    <row r="467" spans="1:7" ht="14.25">
      <c r="A467" s="51"/>
      <c r="B467" s="51"/>
      <c r="C467" s="51"/>
      <c r="D467" s="51"/>
      <c r="E467" s="51"/>
      <c r="F467" s="51"/>
      <c r="G467" s="51"/>
    </row>
    <row r="468" spans="1:7" ht="14.25">
      <c r="A468" s="51"/>
      <c r="B468" s="51"/>
      <c r="C468" s="51"/>
      <c r="D468" s="51"/>
      <c r="E468" s="51"/>
      <c r="F468" s="51"/>
      <c r="G468" s="51"/>
    </row>
    <row r="469" spans="1:7" ht="14.25">
      <c r="A469" s="51"/>
      <c r="B469" s="51"/>
      <c r="C469" s="51"/>
      <c r="D469" s="51"/>
      <c r="E469" s="51"/>
      <c r="F469" s="51"/>
      <c r="G469" s="51"/>
    </row>
    <row r="470" spans="1:7" ht="14.25">
      <c r="A470" s="51"/>
      <c r="B470" s="51"/>
      <c r="C470" s="51"/>
      <c r="D470" s="51"/>
      <c r="E470" s="51"/>
      <c r="F470" s="51"/>
      <c r="G470" s="51"/>
    </row>
    <row r="471" spans="1:7" ht="14.25">
      <c r="A471" s="51"/>
      <c r="B471" s="51"/>
      <c r="C471" s="51"/>
      <c r="D471" s="51"/>
      <c r="E471" s="51"/>
      <c r="F471" s="51"/>
      <c r="G471" s="51"/>
    </row>
    <row r="472" spans="1:7" ht="14.25">
      <c r="A472" s="51"/>
      <c r="B472" s="51"/>
      <c r="C472" s="51"/>
      <c r="D472" s="51"/>
      <c r="E472" s="51"/>
      <c r="F472" s="51"/>
      <c r="G472" s="51"/>
    </row>
    <row r="473" spans="1:7" ht="14.25">
      <c r="A473" s="51"/>
      <c r="B473" s="51"/>
      <c r="C473" s="51"/>
      <c r="D473" s="51"/>
      <c r="E473" s="51"/>
      <c r="F473" s="51"/>
      <c r="G473" s="51"/>
    </row>
    <row r="474" spans="1:7" ht="14.25">
      <c r="A474" s="51"/>
      <c r="B474" s="51"/>
      <c r="C474" s="51"/>
      <c r="D474" s="51"/>
      <c r="E474" s="51"/>
      <c r="F474" s="51"/>
      <c r="G474" s="51"/>
    </row>
    <row r="475" spans="1:7" ht="14.25">
      <c r="A475" s="51"/>
      <c r="B475" s="51"/>
      <c r="C475" s="51"/>
      <c r="D475" s="51"/>
      <c r="E475" s="51"/>
      <c r="F475" s="51"/>
      <c r="G475" s="51"/>
    </row>
    <row r="476" spans="1:7" ht="14.25">
      <c r="A476" s="51"/>
      <c r="B476" s="51"/>
      <c r="C476" s="51"/>
      <c r="D476" s="51"/>
      <c r="E476" s="51"/>
      <c r="F476" s="51"/>
      <c r="G476" s="51"/>
    </row>
    <row r="477" spans="1:7" ht="14.25">
      <c r="A477" s="51"/>
      <c r="B477" s="51"/>
      <c r="C477" s="51"/>
      <c r="D477" s="51"/>
      <c r="E477" s="51"/>
      <c r="F477" s="51"/>
      <c r="G477" s="51"/>
    </row>
    <row r="478" spans="1:7" ht="14.25">
      <c r="A478" s="51"/>
      <c r="B478" s="51"/>
      <c r="C478" s="51"/>
      <c r="D478" s="51"/>
      <c r="E478" s="51"/>
      <c r="F478" s="51"/>
      <c r="G478" s="51"/>
    </row>
    <row r="479" spans="1:7" ht="14.25">
      <c r="A479" s="51"/>
      <c r="B479" s="51"/>
      <c r="C479" s="51"/>
      <c r="D479" s="51"/>
      <c r="E479" s="51"/>
      <c r="F479" s="51"/>
      <c r="G479" s="51"/>
    </row>
    <row r="480" spans="1:7" ht="14.25">
      <c r="A480" s="51"/>
      <c r="B480" s="51"/>
      <c r="C480" s="51"/>
      <c r="D480" s="51"/>
      <c r="E480" s="51"/>
      <c r="F480" s="51"/>
      <c r="G480" s="51"/>
    </row>
    <row r="481" spans="1:7" ht="14.25">
      <c r="A481" s="51"/>
      <c r="B481" s="51"/>
      <c r="C481" s="51"/>
      <c r="D481" s="51"/>
      <c r="E481" s="51"/>
      <c r="F481" s="51"/>
      <c r="G481" s="51"/>
    </row>
    <row r="482" spans="1:7" ht="14.25">
      <c r="A482" s="51"/>
      <c r="B482" s="51"/>
      <c r="C482" s="51"/>
      <c r="D482" s="51"/>
      <c r="E482" s="51"/>
      <c r="F482" s="51"/>
      <c r="G482" s="51"/>
    </row>
    <row r="483" spans="1:7" ht="14.25">
      <c r="A483" s="51"/>
      <c r="B483" s="51"/>
      <c r="C483" s="51"/>
      <c r="D483" s="51"/>
      <c r="E483" s="51"/>
      <c r="F483" s="51"/>
      <c r="G483" s="51"/>
    </row>
    <row r="484" spans="1:7" ht="14.25">
      <c r="A484" s="51"/>
      <c r="B484" s="51"/>
      <c r="C484" s="51"/>
      <c r="D484" s="51"/>
      <c r="E484" s="51"/>
      <c r="F484" s="51"/>
      <c r="G484" s="51"/>
    </row>
    <row r="485" spans="1:7" ht="14.25">
      <c r="A485" s="51"/>
      <c r="B485" s="51"/>
      <c r="C485" s="51"/>
      <c r="D485" s="51"/>
      <c r="E485" s="51"/>
      <c r="F485" s="51"/>
      <c r="G485" s="51"/>
    </row>
    <row r="486" spans="1:7" ht="14.25">
      <c r="A486" s="51"/>
      <c r="B486" s="51"/>
      <c r="C486" s="51"/>
      <c r="D486" s="51"/>
      <c r="E486" s="51"/>
      <c r="F486" s="51"/>
      <c r="G486" s="51"/>
    </row>
    <row r="487" spans="1:7" ht="14.25">
      <c r="A487" s="51"/>
      <c r="B487" s="51"/>
      <c r="C487" s="51"/>
      <c r="D487" s="51"/>
      <c r="E487" s="51"/>
      <c r="F487" s="51"/>
      <c r="G487" s="51"/>
    </row>
    <row r="488" spans="1:7" ht="14.25">
      <c r="A488" s="51"/>
      <c r="B488" s="51"/>
      <c r="C488" s="51"/>
      <c r="D488" s="51"/>
      <c r="E488" s="51"/>
      <c r="F488" s="51"/>
      <c r="G488" s="51"/>
    </row>
    <row r="489" spans="1:7" ht="14.25">
      <c r="A489" s="51"/>
      <c r="B489" s="51"/>
      <c r="C489" s="51"/>
      <c r="D489" s="51"/>
      <c r="E489" s="51"/>
      <c r="F489" s="51"/>
      <c r="G489" s="51"/>
    </row>
    <row r="490" spans="1:7" ht="14.25">
      <c r="A490" s="51"/>
      <c r="B490" s="51"/>
      <c r="C490" s="51"/>
      <c r="D490" s="51"/>
      <c r="E490" s="51"/>
      <c r="F490" s="51"/>
      <c r="G490" s="51"/>
    </row>
    <row r="491" spans="1:7" ht="14.25">
      <c r="A491" s="51"/>
      <c r="B491" s="51"/>
      <c r="C491" s="51"/>
      <c r="D491" s="51"/>
      <c r="E491" s="51"/>
      <c r="F491" s="51"/>
      <c r="G491" s="51"/>
    </row>
    <row r="492" spans="1:7" ht="14.25">
      <c r="A492" s="51"/>
      <c r="B492" s="51"/>
      <c r="C492" s="51"/>
      <c r="D492" s="51"/>
      <c r="E492" s="51"/>
      <c r="F492" s="51"/>
      <c r="G492" s="51"/>
    </row>
    <row r="493" spans="1:7" ht="14.25">
      <c r="A493" s="51"/>
      <c r="B493" s="51"/>
      <c r="C493" s="51"/>
      <c r="D493" s="51"/>
      <c r="E493" s="51"/>
      <c r="F493" s="51"/>
      <c r="G493" s="51"/>
    </row>
    <row r="494" spans="1:7" ht="14.25">
      <c r="A494" s="51"/>
      <c r="B494" s="51"/>
      <c r="C494" s="51"/>
      <c r="D494" s="51"/>
      <c r="E494" s="51"/>
      <c r="F494" s="51"/>
      <c r="G494" s="51"/>
    </row>
    <row r="495" spans="1:7" ht="14.25">
      <c r="A495" s="51"/>
      <c r="B495" s="51"/>
      <c r="C495" s="51"/>
      <c r="D495" s="51"/>
      <c r="E495" s="51"/>
      <c r="F495" s="51"/>
      <c r="G495" s="51"/>
    </row>
    <row r="496" spans="1:7" ht="14.25">
      <c r="A496" s="51"/>
      <c r="B496" s="51"/>
      <c r="C496" s="51"/>
      <c r="D496" s="51"/>
      <c r="E496" s="51"/>
      <c r="F496" s="51"/>
      <c r="G496" s="51"/>
    </row>
    <row r="497" spans="1:7" ht="14.25">
      <c r="A497" s="51"/>
      <c r="B497" s="51"/>
      <c r="C497" s="51"/>
      <c r="D497" s="51"/>
      <c r="E497" s="51"/>
      <c r="F497" s="51"/>
      <c r="G497" s="51"/>
    </row>
    <row r="498" spans="1:7" ht="14.25">
      <c r="A498" s="51"/>
      <c r="B498" s="51"/>
      <c r="C498" s="51"/>
      <c r="D498" s="51"/>
      <c r="E498" s="51"/>
      <c r="F498" s="51"/>
      <c r="G498" s="51"/>
    </row>
    <row r="499" spans="1:7" ht="14.25">
      <c r="A499" s="51"/>
      <c r="B499" s="51"/>
      <c r="C499" s="51"/>
      <c r="D499" s="51"/>
      <c r="E499" s="51"/>
      <c r="F499" s="51"/>
      <c r="G499" s="51"/>
    </row>
    <row r="500" spans="1:7" ht="14.25">
      <c r="A500" s="51"/>
      <c r="B500" s="51"/>
      <c r="C500" s="51"/>
      <c r="D500" s="51"/>
      <c r="E500" s="51"/>
      <c r="F500" s="51"/>
      <c r="G500" s="51"/>
    </row>
    <row r="501" spans="1:7" ht="14.25">
      <c r="A501" s="51"/>
      <c r="B501" s="51"/>
      <c r="C501" s="51"/>
      <c r="D501" s="51"/>
      <c r="E501" s="51"/>
      <c r="F501" s="51"/>
      <c r="G501" s="51"/>
    </row>
    <row r="502" spans="1:7" ht="14.25">
      <c r="A502" s="51"/>
      <c r="B502" s="51"/>
      <c r="C502" s="51"/>
      <c r="D502" s="51"/>
      <c r="E502" s="51"/>
      <c r="F502" s="51"/>
      <c r="G502" s="51"/>
    </row>
    <row r="503" spans="1:7" ht="14.25">
      <c r="A503" s="51"/>
      <c r="B503" s="51"/>
      <c r="C503" s="51"/>
      <c r="D503" s="51"/>
      <c r="E503" s="51"/>
      <c r="F503" s="51"/>
      <c r="G503" s="51"/>
    </row>
    <row r="504" spans="1:7" ht="14.25">
      <c r="A504" s="51"/>
      <c r="B504" s="51"/>
      <c r="C504" s="51"/>
      <c r="D504" s="51"/>
      <c r="E504" s="51"/>
      <c r="F504" s="51"/>
      <c r="G504" s="51"/>
    </row>
    <row r="505" spans="1:7" ht="14.25">
      <c r="A505" s="51"/>
      <c r="B505" s="51"/>
      <c r="C505" s="51"/>
      <c r="D505" s="51"/>
      <c r="E505" s="51"/>
      <c r="F505" s="51"/>
      <c r="G505" s="51"/>
    </row>
    <row r="506" spans="1:7" ht="14.25">
      <c r="A506" s="51"/>
      <c r="B506" s="51"/>
      <c r="C506" s="51"/>
      <c r="D506" s="51"/>
      <c r="E506" s="51"/>
      <c r="F506" s="51"/>
      <c r="G506" s="51"/>
    </row>
    <row r="507" spans="1:7" ht="14.25">
      <c r="A507" s="51"/>
      <c r="B507" s="51"/>
      <c r="C507" s="51"/>
      <c r="D507" s="51"/>
      <c r="E507" s="51"/>
      <c r="F507" s="51"/>
      <c r="G507" s="51"/>
    </row>
    <row r="508" spans="1:7" ht="14.25">
      <c r="A508" s="51"/>
      <c r="B508" s="51"/>
      <c r="C508" s="51"/>
      <c r="D508" s="51"/>
      <c r="E508" s="51"/>
      <c r="F508" s="51"/>
      <c r="G508" s="51"/>
    </row>
    <row r="509" spans="1:7" ht="14.25">
      <c r="A509" s="51"/>
      <c r="B509" s="51"/>
      <c r="C509" s="51"/>
      <c r="D509" s="51"/>
      <c r="E509" s="51"/>
      <c r="F509" s="51"/>
      <c r="G509" s="51"/>
    </row>
    <row r="510" spans="1:7" ht="14.25">
      <c r="A510" s="51"/>
      <c r="B510" s="51"/>
      <c r="C510" s="51"/>
      <c r="D510" s="51"/>
      <c r="E510" s="51"/>
      <c r="F510" s="51"/>
      <c r="G510" s="51"/>
    </row>
    <row r="511" spans="1:7" ht="14.25">
      <c r="A511" s="51"/>
      <c r="B511" s="51"/>
      <c r="C511" s="51"/>
      <c r="D511" s="51"/>
      <c r="E511" s="51"/>
      <c r="F511" s="51"/>
      <c r="G511" s="51"/>
    </row>
    <row r="512" spans="1:7" ht="14.25">
      <c r="A512" s="51"/>
      <c r="B512" s="51"/>
      <c r="C512" s="51"/>
      <c r="D512" s="51"/>
      <c r="E512" s="51"/>
      <c r="F512" s="51"/>
      <c r="G512" s="51"/>
    </row>
    <row r="513" spans="1:7" ht="14.25">
      <c r="A513" s="51"/>
      <c r="B513" s="51"/>
      <c r="C513" s="51"/>
      <c r="D513" s="51"/>
      <c r="E513" s="51"/>
      <c r="F513" s="51"/>
      <c r="G513" s="51"/>
    </row>
    <row r="514" spans="1:7" ht="14.25">
      <c r="A514" s="51"/>
      <c r="B514" s="51"/>
      <c r="C514" s="51"/>
      <c r="D514" s="51"/>
      <c r="E514" s="51"/>
      <c r="F514" s="51"/>
      <c r="G514" s="51"/>
    </row>
    <row r="515" spans="1:7" ht="14.25">
      <c r="A515" s="51"/>
      <c r="B515" s="51"/>
      <c r="C515" s="51"/>
      <c r="D515" s="51"/>
      <c r="E515" s="51"/>
      <c r="F515" s="51"/>
      <c r="G515" s="51"/>
    </row>
    <row r="516" spans="1:7" ht="14.25">
      <c r="A516" s="51"/>
      <c r="B516" s="51"/>
      <c r="C516" s="51"/>
      <c r="D516" s="51"/>
      <c r="E516" s="51"/>
      <c r="F516" s="51"/>
      <c r="G516" s="51"/>
    </row>
    <row r="517" spans="1:7" ht="14.25">
      <c r="A517" s="51"/>
      <c r="B517" s="51"/>
      <c r="C517" s="51"/>
      <c r="D517" s="51"/>
      <c r="E517" s="51"/>
      <c r="F517" s="51"/>
      <c r="G517" s="51"/>
    </row>
    <row r="518" spans="1:7" ht="14.25">
      <c r="A518" s="51"/>
      <c r="B518" s="51"/>
      <c r="C518" s="51"/>
      <c r="D518" s="51"/>
      <c r="E518" s="51"/>
      <c r="F518" s="51"/>
      <c r="G518" s="51"/>
    </row>
    <row r="519" spans="1:7" ht="14.25">
      <c r="A519" s="51"/>
      <c r="B519" s="51"/>
      <c r="C519" s="51"/>
      <c r="D519" s="51"/>
      <c r="E519" s="51"/>
      <c r="F519" s="51"/>
      <c r="G519" s="51"/>
    </row>
    <row r="520" spans="1:7" ht="14.25">
      <c r="A520" s="51"/>
      <c r="B520" s="51"/>
      <c r="C520" s="51"/>
      <c r="D520" s="51"/>
      <c r="E520" s="51"/>
      <c r="F520" s="51"/>
      <c r="G520" s="51"/>
    </row>
    <row r="521" spans="1:7" ht="14.25">
      <c r="A521" s="51"/>
      <c r="B521" s="51"/>
      <c r="C521" s="51"/>
      <c r="D521" s="51"/>
      <c r="E521" s="51"/>
      <c r="F521" s="51"/>
      <c r="G521" s="51"/>
    </row>
    <row r="522" spans="1:7" ht="14.25">
      <c r="A522" s="51"/>
      <c r="B522" s="51"/>
      <c r="C522" s="51"/>
      <c r="D522" s="51"/>
      <c r="E522" s="51"/>
      <c r="F522" s="51"/>
      <c r="G522" s="51"/>
    </row>
    <row r="523" spans="1:7" ht="14.25">
      <c r="A523" s="51"/>
      <c r="B523" s="51"/>
      <c r="C523" s="51"/>
      <c r="D523" s="51"/>
      <c r="E523" s="51"/>
      <c r="F523" s="51"/>
      <c r="G523" s="51"/>
    </row>
    <row r="524" spans="1:7" ht="14.25">
      <c r="A524" s="51"/>
      <c r="B524" s="51"/>
      <c r="C524" s="51"/>
      <c r="D524" s="51"/>
      <c r="E524" s="51"/>
      <c r="F524" s="51"/>
      <c r="G524" s="51"/>
    </row>
    <row r="525" spans="1:7" ht="14.25">
      <c r="A525" s="51"/>
      <c r="B525" s="51"/>
      <c r="C525" s="51"/>
      <c r="D525" s="51"/>
      <c r="E525" s="51"/>
      <c r="F525" s="51"/>
      <c r="G525" s="51"/>
    </row>
    <row r="526" spans="1:7" ht="14.25">
      <c r="A526" s="51"/>
      <c r="B526" s="51"/>
      <c r="C526" s="51"/>
      <c r="D526" s="51"/>
      <c r="E526" s="51"/>
      <c r="F526" s="51"/>
      <c r="G526" s="51"/>
    </row>
    <row r="527" spans="1:7" ht="14.25">
      <c r="A527" s="51"/>
      <c r="B527" s="51"/>
      <c r="C527" s="51"/>
      <c r="D527" s="51"/>
      <c r="E527" s="51"/>
      <c r="F527" s="51"/>
      <c r="G527" s="51"/>
    </row>
    <row r="528" spans="1:7" ht="14.25">
      <c r="A528" s="51"/>
      <c r="B528" s="51"/>
      <c r="C528" s="51"/>
      <c r="D528" s="51"/>
      <c r="E528" s="51"/>
      <c r="F528" s="51"/>
      <c r="G528" s="51"/>
    </row>
    <row r="529" spans="1:7" ht="14.25">
      <c r="A529" s="51"/>
      <c r="B529" s="51"/>
      <c r="C529" s="51"/>
      <c r="D529" s="51"/>
      <c r="E529" s="51"/>
      <c r="F529" s="51"/>
      <c r="G529" s="51"/>
    </row>
    <row r="530" spans="1:7" ht="14.25">
      <c r="A530" s="51"/>
      <c r="B530" s="51"/>
      <c r="C530" s="51"/>
      <c r="D530" s="51"/>
      <c r="E530" s="51"/>
      <c r="F530" s="51"/>
      <c r="G530" s="51"/>
    </row>
    <row r="531" spans="1:7" ht="14.25">
      <c r="A531" s="51"/>
      <c r="B531" s="51"/>
      <c r="C531" s="51"/>
      <c r="D531" s="51"/>
      <c r="E531" s="51"/>
      <c r="F531" s="51"/>
      <c r="G531" s="51"/>
    </row>
    <row r="532" spans="1:7" ht="14.25">
      <c r="A532" s="51"/>
      <c r="B532" s="51"/>
      <c r="C532" s="51"/>
      <c r="D532" s="51"/>
      <c r="E532" s="51"/>
      <c r="F532" s="51"/>
      <c r="G532" s="51"/>
    </row>
    <row r="533" spans="1:7" ht="14.25">
      <c r="A533" s="51"/>
      <c r="B533" s="51"/>
      <c r="C533" s="51"/>
      <c r="D533" s="51"/>
      <c r="E533" s="51"/>
      <c r="F533" s="51"/>
      <c r="G533" s="51"/>
    </row>
    <row r="534" spans="1:7" ht="14.25">
      <c r="A534" s="51"/>
      <c r="B534" s="51"/>
      <c r="C534" s="51"/>
      <c r="D534" s="51"/>
      <c r="E534" s="51"/>
      <c r="F534" s="51"/>
      <c r="G534" s="51"/>
    </row>
    <row r="535" spans="1:7" ht="14.25">
      <c r="A535" s="51"/>
      <c r="B535" s="51"/>
      <c r="C535" s="51"/>
      <c r="D535" s="51"/>
      <c r="E535" s="51"/>
      <c r="F535" s="51"/>
      <c r="G535" s="51"/>
    </row>
    <row r="536" spans="1:7" ht="14.25">
      <c r="A536" s="51"/>
      <c r="B536" s="51"/>
      <c r="C536" s="51"/>
      <c r="D536" s="51"/>
      <c r="E536" s="51"/>
      <c r="F536" s="51"/>
      <c r="G536" s="51"/>
    </row>
    <row r="537" spans="1:7" ht="14.25">
      <c r="A537" s="51"/>
      <c r="B537" s="51"/>
      <c r="C537" s="51"/>
      <c r="D537" s="51"/>
      <c r="E537" s="51"/>
      <c r="F537" s="51"/>
      <c r="G537" s="51"/>
    </row>
    <row r="538" spans="1:7" ht="14.25">
      <c r="A538" s="51"/>
      <c r="B538" s="51"/>
      <c r="C538" s="51"/>
      <c r="D538" s="51"/>
      <c r="E538" s="51"/>
      <c r="F538" s="51"/>
      <c r="G538" s="51"/>
    </row>
    <row r="539" spans="1:7" ht="14.25">
      <c r="A539" s="51"/>
      <c r="B539" s="51"/>
      <c r="C539" s="51"/>
      <c r="D539" s="51"/>
      <c r="E539" s="51"/>
      <c r="F539" s="51"/>
      <c r="G539" s="51"/>
    </row>
    <row r="540" spans="1:7" ht="14.25">
      <c r="A540" s="51"/>
      <c r="B540" s="51"/>
      <c r="C540" s="51"/>
      <c r="D540" s="51"/>
      <c r="E540" s="51"/>
      <c r="F540" s="51"/>
      <c r="G540" s="51"/>
    </row>
    <row r="541" spans="1:7" ht="14.25">
      <c r="A541" s="51"/>
      <c r="B541" s="51"/>
      <c r="C541" s="51"/>
      <c r="D541" s="51"/>
      <c r="E541" s="51"/>
      <c r="F541" s="51"/>
      <c r="G541" s="51"/>
    </row>
    <row r="542" spans="1:7" ht="14.25">
      <c r="A542" s="51"/>
      <c r="B542" s="51"/>
      <c r="C542" s="51"/>
      <c r="D542" s="51"/>
      <c r="E542" s="51"/>
      <c r="F542" s="51"/>
      <c r="G542" s="51"/>
    </row>
    <row r="543" spans="1:7" ht="14.25">
      <c r="A543" s="51"/>
      <c r="B543" s="51"/>
      <c r="C543" s="51"/>
      <c r="D543" s="51"/>
      <c r="E543" s="51"/>
      <c r="F543" s="51"/>
      <c r="G543" s="51"/>
    </row>
    <row r="544" spans="1:7" ht="14.25">
      <c r="A544" s="51"/>
      <c r="B544" s="51"/>
      <c r="C544" s="51"/>
      <c r="D544" s="51"/>
      <c r="E544" s="51"/>
      <c r="F544" s="51"/>
      <c r="G544" s="51"/>
    </row>
    <row r="545" spans="1:7" ht="14.25">
      <c r="A545" s="51"/>
      <c r="B545" s="51"/>
      <c r="C545" s="51"/>
      <c r="D545" s="51"/>
      <c r="E545" s="51"/>
      <c r="F545" s="51"/>
      <c r="G545" s="51"/>
    </row>
    <row r="546" spans="1:7" ht="14.25">
      <c r="A546" s="51"/>
      <c r="B546" s="51"/>
      <c r="C546" s="51"/>
      <c r="D546" s="51"/>
      <c r="E546" s="51"/>
      <c r="F546" s="51"/>
      <c r="G546" s="51"/>
    </row>
    <row r="547" spans="1:7" ht="14.25">
      <c r="A547" s="51"/>
      <c r="B547" s="51"/>
      <c r="C547" s="51"/>
      <c r="D547" s="51"/>
      <c r="E547" s="51"/>
      <c r="F547" s="51"/>
      <c r="G547" s="51"/>
    </row>
    <row r="548" spans="1:7" ht="14.25">
      <c r="A548" s="51"/>
      <c r="B548" s="51"/>
      <c r="C548" s="51"/>
      <c r="D548" s="51"/>
      <c r="E548" s="51"/>
      <c r="F548" s="51"/>
      <c r="G548" s="51"/>
    </row>
    <row r="549" spans="1:7" ht="14.25">
      <c r="A549" s="51"/>
      <c r="B549" s="51"/>
      <c r="C549" s="51"/>
      <c r="D549" s="51"/>
      <c r="E549" s="51"/>
      <c r="F549" s="51"/>
      <c r="G549" s="51"/>
    </row>
    <row r="550" spans="1:7" ht="14.25">
      <c r="A550" s="51"/>
      <c r="B550" s="51"/>
      <c r="C550" s="51"/>
      <c r="D550" s="51"/>
      <c r="E550" s="51"/>
      <c r="F550" s="51"/>
      <c r="G550" s="51"/>
    </row>
    <row r="551" spans="1:7" ht="14.25">
      <c r="A551" s="51"/>
      <c r="B551" s="51"/>
      <c r="C551" s="51"/>
      <c r="D551" s="51"/>
      <c r="E551" s="51"/>
      <c r="F551" s="51"/>
      <c r="G551" s="51"/>
    </row>
    <row r="552" spans="1:7" ht="14.25">
      <c r="A552" s="51"/>
      <c r="B552" s="51"/>
      <c r="C552" s="51"/>
      <c r="D552" s="51"/>
      <c r="E552" s="51"/>
      <c r="F552" s="51"/>
      <c r="G552" s="51"/>
    </row>
    <row r="553" spans="1:7" ht="14.25">
      <c r="A553" s="51"/>
      <c r="B553" s="51"/>
      <c r="C553" s="51"/>
      <c r="D553" s="51"/>
      <c r="E553" s="51"/>
      <c r="F553" s="51"/>
      <c r="G553" s="51"/>
    </row>
    <row r="554" spans="1:7" ht="14.25">
      <c r="A554" s="51"/>
      <c r="B554" s="51"/>
      <c r="C554" s="51"/>
      <c r="D554" s="51"/>
      <c r="E554" s="51"/>
      <c r="F554" s="51"/>
      <c r="G554" s="51"/>
    </row>
    <row r="555" spans="1:7" ht="14.25">
      <c r="A555" s="51"/>
      <c r="B555" s="51"/>
      <c r="C555" s="51"/>
      <c r="D555" s="51"/>
      <c r="E555" s="51"/>
      <c r="F555" s="51"/>
      <c r="G555" s="51"/>
    </row>
    <row r="556" spans="1:7" ht="14.25">
      <c r="A556" s="51"/>
      <c r="B556" s="51"/>
      <c r="C556" s="51"/>
      <c r="D556" s="51"/>
      <c r="E556" s="51"/>
      <c r="F556" s="51"/>
      <c r="G556" s="51"/>
    </row>
    <row r="557" spans="1:7" ht="14.25">
      <c r="A557" s="51"/>
      <c r="B557" s="51"/>
      <c r="C557" s="51"/>
      <c r="D557" s="51"/>
      <c r="E557" s="51"/>
      <c r="F557" s="51"/>
      <c r="G557" s="51"/>
    </row>
    <row r="558" spans="1:7" ht="14.25">
      <c r="A558" s="51"/>
      <c r="B558" s="51"/>
      <c r="C558" s="51"/>
      <c r="D558" s="51"/>
      <c r="E558" s="51"/>
      <c r="F558" s="51"/>
      <c r="G558" s="51"/>
    </row>
    <row r="559" spans="1:7" ht="14.25">
      <c r="A559" s="51"/>
      <c r="B559" s="51"/>
      <c r="C559" s="51"/>
      <c r="D559" s="51"/>
      <c r="E559" s="51"/>
      <c r="F559" s="51"/>
      <c r="G559" s="51"/>
    </row>
    <row r="560" spans="1:7" ht="14.25">
      <c r="A560" s="51"/>
      <c r="B560" s="51"/>
      <c r="C560" s="51"/>
      <c r="D560" s="51"/>
      <c r="E560" s="51"/>
      <c r="F560" s="51"/>
      <c r="G560" s="51"/>
    </row>
    <row r="561" spans="1:7" ht="14.25">
      <c r="A561" s="51"/>
      <c r="B561" s="51"/>
      <c r="C561" s="51"/>
      <c r="D561" s="51"/>
      <c r="E561" s="51"/>
      <c r="F561" s="51"/>
      <c r="G561" s="51"/>
    </row>
    <row r="562" spans="1:7" ht="14.25">
      <c r="A562" s="51"/>
      <c r="B562" s="51"/>
      <c r="C562" s="51"/>
      <c r="D562" s="51"/>
      <c r="E562" s="51"/>
      <c r="F562" s="51"/>
      <c r="G562" s="51"/>
    </row>
    <row r="563" spans="1:7" ht="14.25">
      <c r="A563" s="51"/>
      <c r="B563" s="51"/>
      <c r="C563" s="51"/>
      <c r="D563" s="51"/>
      <c r="E563" s="51"/>
      <c r="F563" s="51"/>
      <c r="G563" s="51"/>
    </row>
    <row r="564" spans="1:7" ht="14.25">
      <c r="A564" s="51"/>
      <c r="B564" s="51"/>
      <c r="C564" s="51"/>
      <c r="D564" s="51"/>
      <c r="E564" s="51"/>
      <c r="F564" s="51"/>
      <c r="G564" s="51"/>
    </row>
    <row r="565" spans="1:7" ht="14.25">
      <c r="A565" s="51"/>
      <c r="B565" s="51"/>
      <c r="C565" s="51"/>
      <c r="D565" s="51"/>
      <c r="E565" s="51"/>
      <c r="F565" s="51"/>
      <c r="G565" s="51"/>
    </row>
    <row r="566" spans="1:7" ht="14.25">
      <c r="A566" s="51"/>
      <c r="B566" s="51"/>
      <c r="C566" s="51"/>
      <c r="D566" s="51"/>
      <c r="E566" s="51"/>
      <c r="F566" s="51"/>
      <c r="G566" s="51"/>
    </row>
    <row r="567" spans="1:7" ht="14.25">
      <c r="A567" s="51"/>
      <c r="B567" s="51"/>
      <c r="C567" s="51"/>
      <c r="D567" s="51"/>
      <c r="E567" s="51"/>
      <c r="F567" s="51"/>
      <c r="G567" s="51"/>
    </row>
    <row r="568" spans="1:7" ht="14.25">
      <c r="A568" s="51"/>
      <c r="B568" s="51"/>
      <c r="C568" s="51"/>
      <c r="D568" s="51"/>
      <c r="E568" s="51"/>
      <c r="F568" s="51"/>
      <c r="G568" s="51"/>
    </row>
    <row r="569" spans="1:7" ht="14.25">
      <c r="A569" s="51"/>
      <c r="B569" s="51"/>
      <c r="C569" s="51"/>
      <c r="D569" s="51"/>
      <c r="E569" s="51"/>
      <c r="F569" s="51"/>
      <c r="G569" s="51"/>
    </row>
    <row r="570" spans="1:7" ht="14.25">
      <c r="A570" s="51"/>
      <c r="B570" s="51"/>
      <c r="C570" s="51"/>
      <c r="D570" s="51"/>
      <c r="E570" s="51"/>
      <c r="F570" s="51"/>
      <c r="G570" s="51"/>
    </row>
    <row r="571" spans="1:7" ht="14.25">
      <c r="A571" s="51"/>
      <c r="B571" s="51"/>
      <c r="C571" s="51"/>
      <c r="D571" s="51"/>
      <c r="E571" s="51"/>
      <c r="F571" s="51"/>
      <c r="G571" s="51"/>
    </row>
    <row r="572" spans="1:7" ht="14.25">
      <c r="A572" s="51"/>
      <c r="B572" s="51"/>
      <c r="C572" s="51"/>
      <c r="D572" s="51"/>
      <c r="E572" s="51"/>
      <c r="F572" s="51"/>
      <c r="G572" s="51"/>
    </row>
    <row r="573" spans="1:7" ht="14.25">
      <c r="A573" s="51"/>
      <c r="B573" s="51"/>
      <c r="C573" s="51"/>
      <c r="D573" s="51"/>
      <c r="E573" s="51"/>
      <c r="F573" s="51"/>
      <c r="G573" s="51"/>
    </row>
    <row r="574" spans="1:7" ht="14.25">
      <c r="A574" s="51"/>
      <c r="B574" s="51"/>
      <c r="C574" s="51"/>
      <c r="D574" s="51"/>
      <c r="E574" s="51"/>
      <c r="F574" s="51"/>
      <c r="G574" s="51"/>
    </row>
    <row r="575" spans="1:7" ht="14.25">
      <c r="A575" s="51"/>
      <c r="B575" s="51"/>
      <c r="C575" s="51"/>
      <c r="D575" s="51"/>
      <c r="E575" s="51"/>
      <c r="F575" s="51"/>
      <c r="G575" s="51"/>
    </row>
    <row r="576" spans="1:7" ht="14.25">
      <c r="A576" s="51"/>
      <c r="B576" s="51"/>
      <c r="C576" s="51"/>
      <c r="D576" s="51"/>
      <c r="E576" s="51"/>
      <c r="F576" s="51"/>
      <c r="G576" s="51"/>
    </row>
    <row r="577" spans="1:7" ht="14.25">
      <c r="A577" s="51"/>
      <c r="B577" s="51"/>
      <c r="C577" s="51"/>
      <c r="D577" s="51"/>
      <c r="E577" s="51"/>
      <c r="F577" s="51"/>
      <c r="G577" s="51"/>
    </row>
    <row r="578" spans="1:7" ht="14.25">
      <c r="A578" s="51"/>
      <c r="B578" s="51"/>
      <c r="C578" s="51"/>
      <c r="D578" s="51"/>
      <c r="E578" s="51"/>
      <c r="F578" s="51"/>
      <c r="G578" s="51"/>
    </row>
    <row r="579" spans="1:7" ht="14.25">
      <c r="A579" s="51"/>
      <c r="B579" s="51"/>
      <c r="C579" s="51"/>
      <c r="D579" s="51"/>
      <c r="E579" s="51"/>
      <c r="F579" s="51"/>
      <c r="G579" s="51"/>
    </row>
    <row r="580" spans="1:7" ht="14.25">
      <c r="A580" s="51"/>
      <c r="B580" s="51"/>
      <c r="C580" s="51"/>
      <c r="D580" s="51"/>
      <c r="E580" s="51"/>
      <c r="F580" s="51"/>
      <c r="G580" s="51"/>
    </row>
    <row r="581" spans="1:7" ht="14.25">
      <c r="A581" s="51"/>
      <c r="B581" s="51"/>
      <c r="C581" s="51"/>
      <c r="D581" s="51"/>
      <c r="E581" s="51"/>
      <c r="F581" s="51"/>
      <c r="G581" s="51"/>
    </row>
    <row r="582" spans="1:7" ht="14.25">
      <c r="A582" s="51"/>
      <c r="B582" s="51"/>
      <c r="C582" s="51"/>
      <c r="D582" s="51"/>
      <c r="E582" s="51"/>
      <c r="F582" s="51"/>
      <c r="G582" s="51"/>
    </row>
    <row r="583" spans="1:7" ht="14.25">
      <c r="A583" s="51"/>
      <c r="B583" s="51"/>
      <c r="C583" s="51"/>
      <c r="D583" s="51"/>
      <c r="E583" s="51"/>
      <c r="F583" s="51"/>
      <c r="G583" s="51"/>
    </row>
    <row r="584" spans="1:7" ht="14.25">
      <c r="A584" s="51"/>
      <c r="B584" s="51"/>
      <c r="C584" s="51"/>
      <c r="D584" s="51"/>
      <c r="E584" s="51"/>
      <c r="F584" s="51"/>
      <c r="G584" s="51"/>
    </row>
    <row r="585" spans="1:7" ht="14.25">
      <c r="A585" s="51"/>
      <c r="B585" s="51"/>
      <c r="C585" s="51"/>
      <c r="D585" s="51"/>
      <c r="E585" s="51"/>
      <c r="F585" s="51"/>
      <c r="G585" s="51"/>
    </row>
    <row r="586" spans="1:7" ht="14.25">
      <c r="A586" s="51"/>
      <c r="B586" s="51"/>
      <c r="C586" s="51"/>
      <c r="D586" s="51"/>
      <c r="E586" s="51"/>
      <c r="F586" s="51"/>
      <c r="G586" s="51"/>
    </row>
    <row r="587" spans="1:7" ht="14.25">
      <c r="A587" s="51"/>
      <c r="B587" s="51"/>
      <c r="C587" s="51"/>
      <c r="D587" s="51"/>
      <c r="E587" s="51"/>
      <c r="F587" s="51"/>
      <c r="G587" s="51"/>
    </row>
    <row r="588" spans="1:7" ht="14.25">
      <c r="A588" s="51"/>
      <c r="B588" s="51"/>
      <c r="C588" s="51"/>
      <c r="D588" s="51"/>
      <c r="E588" s="51"/>
      <c r="F588" s="51"/>
      <c r="G588" s="51"/>
    </row>
    <row r="589" spans="1:7" ht="14.25">
      <c r="A589" s="51"/>
      <c r="B589" s="51"/>
      <c r="C589" s="51"/>
      <c r="D589" s="51"/>
      <c r="E589" s="51"/>
      <c r="F589" s="51"/>
      <c r="G589" s="51"/>
    </row>
    <row r="590" spans="1:7" ht="14.25">
      <c r="A590" s="51"/>
      <c r="B590" s="51"/>
      <c r="C590" s="51"/>
      <c r="D590" s="51"/>
      <c r="E590" s="51"/>
      <c r="F590" s="51"/>
      <c r="G590" s="51"/>
    </row>
    <row r="591" spans="1:7" ht="14.25">
      <c r="A591" s="51"/>
      <c r="B591" s="51"/>
      <c r="C591" s="51"/>
      <c r="D591" s="51"/>
      <c r="E591" s="51"/>
      <c r="F591" s="51"/>
      <c r="G591" s="51"/>
    </row>
    <row r="592" spans="1:7" ht="14.25">
      <c r="A592" s="51"/>
      <c r="B592" s="51"/>
      <c r="C592" s="51"/>
      <c r="D592" s="51"/>
      <c r="E592" s="51"/>
      <c r="F592" s="51"/>
      <c r="G592" s="51"/>
    </row>
    <row r="593" spans="1:7" ht="14.25">
      <c r="A593" s="51"/>
      <c r="B593" s="51"/>
      <c r="C593" s="51"/>
      <c r="D593" s="51"/>
      <c r="E593" s="51"/>
      <c r="F593" s="51"/>
      <c r="G593" s="51"/>
    </row>
    <row r="594" spans="1:7" ht="14.25">
      <c r="A594" s="51"/>
      <c r="B594" s="51"/>
      <c r="C594" s="51"/>
      <c r="D594" s="51"/>
      <c r="E594" s="51"/>
      <c r="F594" s="51"/>
      <c r="G594" s="51"/>
    </row>
    <row r="595" spans="1:7" ht="14.25">
      <c r="A595" s="51"/>
      <c r="B595" s="51"/>
      <c r="C595" s="51"/>
      <c r="D595" s="51"/>
      <c r="E595" s="51"/>
      <c r="F595" s="51"/>
      <c r="G595" s="51"/>
    </row>
    <row r="596" spans="1:7" ht="14.25">
      <c r="A596" s="51"/>
      <c r="B596" s="51"/>
      <c r="C596" s="51"/>
      <c r="D596" s="51"/>
      <c r="E596" s="51"/>
      <c r="F596" s="51"/>
      <c r="G596" s="51"/>
    </row>
    <row r="597" spans="1:7" ht="14.25">
      <c r="A597" s="51"/>
      <c r="B597" s="51"/>
      <c r="C597" s="51"/>
      <c r="D597" s="51"/>
      <c r="E597" s="51"/>
      <c r="F597" s="51"/>
      <c r="G597" s="51"/>
    </row>
    <row r="598" spans="1:7" ht="14.25">
      <c r="A598" s="51"/>
      <c r="B598" s="51"/>
      <c r="C598" s="51"/>
      <c r="D598" s="51"/>
      <c r="E598" s="51"/>
      <c r="F598" s="51"/>
      <c r="G598" s="51"/>
    </row>
    <row r="599" spans="1:7" ht="14.25">
      <c r="A599" s="51"/>
      <c r="B599" s="51"/>
      <c r="C599" s="51"/>
      <c r="D599" s="51"/>
      <c r="E599" s="51"/>
      <c r="F599" s="51"/>
      <c r="G599" s="51"/>
    </row>
    <row r="600" spans="1:7" ht="14.25">
      <c r="A600" s="51"/>
      <c r="B600" s="51"/>
      <c r="C600" s="51"/>
      <c r="D600" s="51"/>
      <c r="E600" s="51"/>
      <c r="F600" s="51"/>
      <c r="G600" s="51"/>
    </row>
    <row r="601" spans="1:7" ht="14.25">
      <c r="A601" s="51"/>
      <c r="B601" s="51"/>
      <c r="C601" s="51"/>
      <c r="D601" s="51"/>
      <c r="E601" s="51"/>
      <c r="F601" s="51"/>
      <c r="G601" s="51"/>
    </row>
    <row r="602" spans="1:7" ht="14.25">
      <c r="A602" s="51"/>
      <c r="B602" s="51"/>
      <c r="C602" s="51"/>
      <c r="D602" s="51"/>
      <c r="E602" s="51"/>
      <c r="F602" s="51"/>
      <c r="G602" s="51"/>
    </row>
    <row r="603" spans="1:7" ht="14.25">
      <c r="A603" s="51"/>
      <c r="B603" s="51"/>
      <c r="C603" s="51"/>
      <c r="D603" s="51"/>
      <c r="E603" s="51"/>
      <c r="F603" s="51"/>
      <c r="G603" s="51"/>
    </row>
    <row r="604" spans="1:7" ht="14.25">
      <c r="A604" s="51"/>
      <c r="B604" s="51"/>
      <c r="C604" s="51"/>
      <c r="D604" s="51"/>
      <c r="E604" s="51"/>
      <c r="F604" s="51"/>
      <c r="G604" s="51"/>
    </row>
    <row r="605" spans="1:7" ht="14.25">
      <c r="A605" s="51"/>
      <c r="B605" s="51"/>
      <c r="C605" s="51"/>
      <c r="D605" s="51"/>
      <c r="E605" s="51"/>
      <c r="F605" s="51"/>
      <c r="G605" s="51"/>
    </row>
    <row r="606" spans="1:7" ht="14.25">
      <c r="A606" s="51"/>
      <c r="B606" s="51"/>
      <c r="C606" s="51"/>
      <c r="D606" s="51"/>
      <c r="E606" s="51"/>
      <c r="F606" s="51"/>
      <c r="G606" s="51"/>
    </row>
    <row r="607" spans="1:7" ht="14.25">
      <c r="A607" s="51"/>
      <c r="B607" s="51"/>
      <c r="C607" s="51"/>
      <c r="D607" s="51"/>
      <c r="E607" s="51"/>
      <c r="F607" s="51"/>
      <c r="G607" s="51"/>
    </row>
    <row r="608" spans="1:7" ht="14.25">
      <c r="A608" s="51"/>
      <c r="B608" s="51"/>
      <c r="C608" s="51"/>
      <c r="D608" s="51"/>
      <c r="E608" s="51"/>
      <c r="F608" s="51"/>
      <c r="G608" s="51"/>
    </row>
    <row r="609" spans="1:7" ht="14.25">
      <c r="A609" s="51"/>
      <c r="B609" s="51"/>
      <c r="C609" s="51"/>
      <c r="D609" s="51"/>
      <c r="E609" s="51"/>
      <c r="F609" s="51"/>
      <c r="G609" s="51"/>
    </row>
    <row r="610" spans="1:7" ht="14.25">
      <c r="A610" s="51"/>
      <c r="B610" s="51"/>
      <c r="C610" s="51"/>
      <c r="D610" s="51"/>
      <c r="E610" s="51"/>
      <c r="F610" s="51"/>
      <c r="G610" s="51"/>
    </row>
    <row r="611" spans="1:7" ht="14.25">
      <c r="A611" s="51"/>
      <c r="B611" s="51"/>
      <c r="C611" s="51"/>
      <c r="D611" s="51"/>
      <c r="E611" s="51"/>
      <c r="F611" s="51"/>
      <c r="G611" s="51"/>
    </row>
    <row r="612" spans="1:7" ht="14.25">
      <c r="A612" s="51"/>
      <c r="B612" s="51"/>
      <c r="C612" s="51"/>
      <c r="D612" s="51"/>
      <c r="E612" s="51"/>
      <c r="F612" s="51"/>
      <c r="G612" s="51"/>
    </row>
    <row r="613" spans="1:7" ht="14.25">
      <c r="A613" s="51"/>
      <c r="B613" s="51"/>
      <c r="C613" s="51"/>
      <c r="D613" s="51"/>
      <c r="E613" s="51"/>
      <c r="F613" s="51"/>
      <c r="G613" s="51"/>
    </row>
    <row r="614" spans="1:7" ht="14.25">
      <c r="A614" s="51"/>
      <c r="B614" s="51"/>
      <c r="C614" s="51"/>
      <c r="D614" s="51"/>
      <c r="E614" s="51"/>
      <c r="F614" s="51"/>
      <c r="G614" s="51"/>
    </row>
    <row r="615" spans="1:7" ht="14.25">
      <c r="A615" s="51"/>
      <c r="B615" s="51"/>
      <c r="C615" s="51"/>
      <c r="D615" s="51"/>
      <c r="E615" s="51"/>
      <c r="F615" s="51"/>
      <c r="G615" s="51"/>
    </row>
    <row r="616" spans="1:7" ht="14.25">
      <c r="A616" s="51"/>
      <c r="B616" s="51"/>
      <c r="C616" s="51"/>
      <c r="D616" s="51"/>
      <c r="E616" s="51"/>
      <c r="F616" s="51"/>
      <c r="G616" s="51"/>
    </row>
  </sheetData>
  <sheetProtection/>
  <printOptions/>
  <pageMargins left="0.2" right="0.2" top="0.984251968503937" bottom="0.984251968503937" header="0.5118110236220472" footer="0.5118110236220472"/>
  <pageSetup horizontalDpi="600" verticalDpi="600" orientation="landscape" paperSize="9" scale="99" r:id="rId3"/>
  <headerFooter alignWithMargins="0">
    <oddHeader>&amp;C&amp;A</oddHeader>
    <oddFooter>&amp;C&amp;P 쪽</oddFooter>
  </headerFooter>
  <rowBreaks count="4" manualBreakCount="4">
    <brk id="23" max="5" man="1"/>
    <brk id="44" max="5" man="1"/>
    <brk id="67" max="5" man="1"/>
    <brk id="92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9"/>
  <sheetViews>
    <sheetView showGridLines="0" zoomScalePageLayoutView="0" workbookViewId="0" topLeftCell="A16">
      <selection activeCell="F30" sqref="F30"/>
    </sheetView>
  </sheetViews>
  <sheetFormatPr defaultColWidth="9.00390625" defaultRowHeight="14.25"/>
  <cols>
    <col min="1" max="1" width="23.875" style="124" bestFit="1" customWidth="1"/>
    <col min="2" max="2" width="24.75390625" style="124" bestFit="1" customWidth="1"/>
    <col min="3" max="3" width="18.125" style="124" customWidth="1"/>
    <col min="4" max="4" width="18.00390625" style="124" customWidth="1"/>
    <col min="5" max="5" width="18.125" style="124" customWidth="1"/>
    <col min="6" max="6" width="18.00390625" style="124" customWidth="1"/>
    <col min="7" max="16384" width="9.00390625" style="124" customWidth="1"/>
  </cols>
  <sheetData>
    <row r="1" spans="1:6" ht="25.5" customHeight="1">
      <c r="A1" s="273" t="s">
        <v>512</v>
      </c>
      <c r="B1" s="274"/>
      <c r="C1" s="274"/>
      <c r="D1" s="274"/>
      <c r="E1" s="274"/>
      <c r="F1" s="274"/>
    </row>
    <row r="2" spans="1:6" ht="14.25">
      <c r="A2" s="275" t="s">
        <v>1535</v>
      </c>
      <c r="B2" s="276"/>
      <c r="C2" s="276"/>
      <c r="D2" s="276"/>
      <c r="E2" s="276"/>
      <c r="F2" s="276"/>
    </row>
    <row r="3" spans="1:6" ht="14.25">
      <c r="A3" s="275" t="s">
        <v>1536</v>
      </c>
      <c r="B3" s="276"/>
      <c r="C3" s="276"/>
      <c r="D3" s="276"/>
      <c r="E3" s="276"/>
      <c r="F3" s="276"/>
    </row>
    <row r="4" spans="1:5" ht="19.5" customHeight="1">
      <c r="A4" s="205" t="s">
        <v>507</v>
      </c>
      <c r="B4" s="206"/>
      <c r="C4" s="206"/>
      <c r="D4" s="206"/>
      <c r="E4" s="206"/>
    </row>
    <row r="5" spans="1:6" ht="14.25">
      <c r="A5" s="277" t="s">
        <v>513</v>
      </c>
      <c r="B5" s="278"/>
      <c r="C5" s="279"/>
      <c r="D5" s="280"/>
      <c r="E5" s="281"/>
      <c r="F5" s="282" t="s">
        <v>271</v>
      </c>
    </row>
    <row r="6" spans="1:6" ht="17.25" customHeight="1">
      <c r="A6" s="283" t="s">
        <v>272</v>
      </c>
      <c r="B6" s="284"/>
      <c r="C6" s="284" t="s">
        <v>273</v>
      </c>
      <c r="D6" s="284"/>
      <c r="E6" s="284" t="s">
        <v>1528</v>
      </c>
      <c r="F6" s="285"/>
    </row>
    <row r="7" spans="1:6" ht="17.25" customHeight="1">
      <c r="A7" s="286" t="s">
        <v>274</v>
      </c>
      <c r="B7" s="287" t="s">
        <v>275</v>
      </c>
      <c r="C7" s="287" t="s">
        <v>275</v>
      </c>
      <c r="D7" s="287" t="s">
        <v>276</v>
      </c>
      <c r="E7" s="287" t="s">
        <v>275</v>
      </c>
      <c r="F7" s="288" t="s">
        <v>276</v>
      </c>
    </row>
    <row r="8" spans="1:6" ht="17.25" customHeight="1">
      <c r="A8" s="289" t="s">
        <v>357</v>
      </c>
      <c r="B8" s="290"/>
      <c r="C8" s="291" t="s">
        <v>1</v>
      </c>
      <c r="D8" s="291">
        <f>D9+D11+D13-D15</f>
        <v>199330181181</v>
      </c>
      <c r="E8" s="291" t="s">
        <v>1</v>
      </c>
      <c r="F8" s="292">
        <v>192227990126</v>
      </c>
    </row>
    <row r="9" spans="1:6" ht="17.25" customHeight="1">
      <c r="A9" s="293" t="s">
        <v>358</v>
      </c>
      <c r="B9" s="294"/>
      <c r="C9" s="295" t="s">
        <v>1</v>
      </c>
      <c r="D9" s="295">
        <f>C10</f>
        <v>126722562939</v>
      </c>
      <c r="E9" s="295" t="s">
        <v>1</v>
      </c>
      <c r="F9" s="296">
        <v>122992447536</v>
      </c>
    </row>
    <row r="10" spans="1:6" ht="17.25" customHeight="1">
      <c r="A10" s="293"/>
      <c r="B10" s="294" t="s">
        <v>514</v>
      </c>
      <c r="C10" s="295">
        <f>부속tb!E85</f>
        <v>126722562939</v>
      </c>
      <c r="D10" s="295"/>
      <c r="E10" s="295">
        <v>122992447536</v>
      </c>
      <c r="F10" s="296"/>
    </row>
    <row r="11" spans="1:6" ht="17.25" customHeight="1">
      <c r="A11" s="293" t="s">
        <v>360</v>
      </c>
      <c r="B11" s="294"/>
      <c r="C11" s="295" t="s">
        <v>1</v>
      </c>
      <c r="D11" s="295">
        <f>C12</f>
        <v>63941615338</v>
      </c>
      <c r="E11" s="295" t="s">
        <v>1</v>
      </c>
      <c r="F11" s="296">
        <v>60521728427</v>
      </c>
    </row>
    <row r="12" spans="1:6" ht="17.25" customHeight="1">
      <c r="A12" s="293"/>
      <c r="B12" s="294" t="s">
        <v>515</v>
      </c>
      <c r="C12" s="295">
        <f>부속tb!E86</f>
        <v>63941615338</v>
      </c>
      <c r="D12" s="295"/>
      <c r="E12" s="295">
        <v>60521728427</v>
      </c>
      <c r="F12" s="296"/>
    </row>
    <row r="13" spans="1:6" ht="17.25" customHeight="1">
      <c r="A13" s="293" t="s">
        <v>361</v>
      </c>
      <c r="B13" s="294"/>
      <c r="C13" s="295" t="s">
        <v>1</v>
      </c>
      <c r="D13" s="295">
        <f>C14</f>
        <v>10465730556</v>
      </c>
      <c r="E13" s="295" t="s">
        <v>1</v>
      </c>
      <c r="F13" s="296">
        <v>10810818886</v>
      </c>
    </row>
    <row r="14" spans="1:6" ht="17.25" customHeight="1">
      <c r="A14" s="293"/>
      <c r="B14" s="294" t="s">
        <v>621</v>
      </c>
      <c r="C14" s="295">
        <f>부속tb!E87</f>
        <v>10465730556</v>
      </c>
      <c r="D14" s="295"/>
      <c r="E14" s="295">
        <v>10810818886</v>
      </c>
      <c r="F14" s="296"/>
    </row>
    <row r="15" spans="1:6" ht="17.25" customHeight="1">
      <c r="A15" s="293" t="s">
        <v>516</v>
      </c>
      <c r="B15" s="294"/>
      <c r="C15" s="295"/>
      <c r="D15" s="297">
        <f>C16</f>
        <v>1799727652</v>
      </c>
      <c r="E15" s="295"/>
      <c r="F15" s="298">
        <v>2097004723</v>
      </c>
    </row>
    <row r="16" spans="1:6" ht="17.25" customHeight="1">
      <c r="A16" s="293"/>
      <c r="B16" s="294" t="s">
        <v>1553</v>
      </c>
      <c r="C16" s="297">
        <f>부속tb!A92</f>
        <v>1799727652</v>
      </c>
      <c r="D16" s="295"/>
      <c r="E16" s="297">
        <v>2097004723</v>
      </c>
      <c r="F16" s="296"/>
    </row>
    <row r="17" spans="1:6" ht="17.25" customHeight="1">
      <c r="A17" s="299" t="s">
        <v>517</v>
      </c>
      <c r="B17" s="300"/>
      <c r="C17" s="301"/>
      <c r="D17" s="301">
        <f>SUM(C19)</f>
        <v>0</v>
      </c>
      <c r="E17" s="301"/>
      <c r="F17" s="302">
        <v>0</v>
      </c>
    </row>
    <row r="18" spans="1:6" ht="17.25" customHeight="1">
      <c r="A18" s="293" t="s">
        <v>518</v>
      </c>
      <c r="B18" s="294"/>
      <c r="C18" s="297"/>
      <c r="D18" s="295"/>
      <c r="E18" s="297"/>
      <c r="F18" s="296"/>
    </row>
    <row r="19" spans="1:6" ht="17.25" customHeight="1">
      <c r="A19" s="293"/>
      <c r="B19" s="294" t="s">
        <v>519</v>
      </c>
      <c r="C19" s="297">
        <v>0</v>
      </c>
      <c r="D19" s="295"/>
      <c r="E19" s="297">
        <v>0</v>
      </c>
      <c r="F19" s="296"/>
    </row>
    <row r="20" spans="1:6" ht="17.25" customHeight="1">
      <c r="A20" s="299" t="s">
        <v>365</v>
      </c>
      <c r="B20" s="300"/>
      <c r="C20" s="301" t="s">
        <v>1</v>
      </c>
      <c r="D20" s="301">
        <f>D21+D23+D36</f>
        <v>11368674764</v>
      </c>
      <c r="E20" s="301" t="s">
        <v>1</v>
      </c>
      <c r="F20" s="302">
        <v>10556943072</v>
      </c>
    </row>
    <row r="21" spans="1:6" ht="17.25" customHeight="1">
      <c r="A21" s="293" t="s">
        <v>366</v>
      </c>
      <c r="B21" s="294"/>
      <c r="C21" s="295" t="s">
        <v>1</v>
      </c>
      <c r="D21" s="295">
        <f>C22</f>
        <v>3028808092</v>
      </c>
      <c r="E21" s="295" t="s">
        <v>1</v>
      </c>
      <c r="F21" s="296">
        <v>2438262799</v>
      </c>
    </row>
    <row r="22" spans="1:6" ht="17.25" customHeight="1">
      <c r="A22" s="293"/>
      <c r="B22" s="294" t="s">
        <v>367</v>
      </c>
      <c r="C22" s="295">
        <f>부속tb!E148</f>
        <v>3028808092</v>
      </c>
      <c r="D22" s="295"/>
      <c r="E22" s="295">
        <v>2438262799</v>
      </c>
      <c r="F22" s="296"/>
    </row>
    <row r="23" spans="1:6" ht="17.25" customHeight="1">
      <c r="A23" s="293" t="s">
        <v>370</v>
      </c>
      <c r="B23" s="294"/>
      <c r="C23" s="295" t="s">
        <v>1</v>
      </c>
      <c r="D23" s="295">
        <f>SUM(C24:C35)</f>
        <v>6728726208</v>
      </c>
      <c r="E23" s="295" t="s">
        <v>1</v>
      </c>
      <c r="F23" s="296">
        <v>6513248821</v>
      </c>
    </row>
    <row r="24" spans="1:6" ht="17.25" customHeight="1">
      <c r="A24" s="303"/>
      <c r="B24" s="451" t="s">
        <v>371</v>
      </c>
      <c r="C24" s="452">
        <f>+부속tb!D159</f>
        <v>1374718488</v>
      </c>
      <c r="D24" s="295"/>
      <c r="E24" s="295">
        <v>1591335898</v>
      </c>
      <c r="F24" s="296"/>
    </row>
    <row r="25" spans="1:6" ht="17.25" customHeight="1">
      <c r="A25" s="306"/>
      <c r="B25" s="294" t="s">
        <v>520</v>
      </c>
      <c r="C25" s="295">
        <f>+부속tb!E150</f>
        <v>0</v>
      </c>
      <c r="D25" s="295"/>
      <c r="E25" s="295">
        <v>0</v>
      </c>
      <c r="F25" s="296"/>
    </row>
    <row r="26" spans="1:6" ht="17.25" customHeight="1">
      <c r="A26" s="293" t="s">
        <v>370</v>
      </c>
      <c r="B26" s="294" t="s">
        <v>521</v>
      </c>
      <c r="C26" s="295">
        <f>부속tb!E156</f>
        <v>2067841622</v>
      </c>
      <c r="D26" s="304"/>
      <c r="E26" s="295">
        <v>1092873325</v>
      </c>
      <c r="F26" s="305"/>
    </row>
    <row r="27" spans="1:6" ht="17.25" customHeight="1">
      <c r="A27" s="303"/>
      <c r="B27" s="307" t="s">
        <v>522</v>
      </c>
      <c r="C27" s="389"/>
      <c r="D27" s="304"/>
      <c r="E27" s="389"/>
      <c r="F27" s="305"/>
    </row>
    <row r="28" spans="1:6" ht="21.75" customHeight="1">
      <c r="A28" s="303"/>
      <c r="B28" s="294" t="s">
        <v>523</v>
      </c>
      <c r="C28" s="389">
        <v>0</v>
      </c>
      <c r="D28" s="304"/>
      <c r="E28" s="389">
        <v>0</v>
      </c>
      <c r="F28" s="296"/>
    </row>
    <row r="29" spans="1:6" ht="19.5" customHeight="1">
      <c r="A29" s="303"/>
      <c r="B29" s="336" t="s">
        <v>524</v>
      </c>
      <c r="C29" s="389">
        <v>0</v>
      </c>
      <c r="D29" s="304"/>
      <c r="E29" s="389">
        <v>0</v>
      </c>
      <c r="F29" s="296"/>
    </row>
    <row r="30" spans="1:6" ht="19.5" customHeight="1">
      <c r="A30" s="303"/>
      <c r="B30" s="294" t="s">
        <v>525</v>
      </c>
      <c r="C30" s="295">
        <f>부속tb!E173</f>
        <v>63189792</v>
      </c>
      <c r="D30" s="295"/>
      <c r="E30" s="295">
        <v>354447000</v>
      </c>
      <c r="F30" s="296"/>
    </row>
    <row r="31" spans="1:6" ht="19.5" customHeight="1">
      <c r="A31" s="303"/>
      <c r="B31" s="336" t="s">
        <v>526</v>
      </c>
      <c r="C31" s="304">
        <f>+부속tb!D153</f>
        <v>0</v>
      </c>
      <c r="D31" s="304"/>
      <c r="E31" s="304">
        <v>0</v>
      </c>
      <c r="F31" s="305"/>
    </row>
    <row r="32" spans="1:6" ht="19.5" customHeight="1">
      <c r="A32" s="303"/>
      <c r="B32" s="336" t="s">
        <v>670</v>
      </c>
      <c r="C32" s="304">
        <f>부속tb!E154</f>
        <v>2239663279</v>
      </c>
      <c r="D32" s="304"/>
      <c r="E32" s="304">
        <v>2629398187</v>
      </c>
      <c r="F32" s="305"/>
    </row>
    <row r="33" spans="1:6" ht="19.5" customHeight="1">
      <c r="A33" s="303"/>
      <c r="B33" s="336" t="s">
        <v>740</v>
      </c>
      <c r="C33" s="304">
        <f>+부속tb!E160</f>
        <v>983313027</v>
      </c>
      <c r="D33" s="304"/>
      <c r="E33" s="304">
        <v>845194411</v>
      </c>
      <c r="F33" s="305"/>
    </row>
    <row r="34" spans="1:6" ht="19.5" customHeight="1">
      <c r="A34" s="303"/>
      <c r="B34" s="336" t="s">
        <v>759</v>
      </c>
      <c r="C34" s="304">
        <v>0</v>
      </c>
      <c r="D34" s="304"/>
      <c r="E34" s="304">
        <v>0</v>
      </c>
      <c r="F34" s="305"/>
    </row>
    <row r="35" spans="1:6" ht="19.5" customHeight="1">
      <c r="A35" s="303"/>
      <c r="B35" s="336" t="s">
        <v>703</v>
      </c>
      <c r="C35" s="304">
        <f>+부속tb!E175</f>
        <v>0</v>
      </c>
      <c r="D35" s="304"/>
      <c r="E35" s="304">
        <v>0</v>
      </c>
      <c r="F35" s="305"/>
    </row>
    <row r="36" spans="1:6" ht="19.5" customHeight="1">
      <c r="A36" s="293" t="s">
        <v>728</v>
      </c>
      <c r="B36" s="336"/>
      <c r="C36" s="304" t="s">
        <v>1</v>
      </c>
      <c r="D36" s="304">
        <f>SUM(C37:C38)</f>
        <v>1611140464</v>
      </c>
      <c r="E36" s="304" t="s">
        <v>1</v>
      </c>
      <c r="F36" s="296">
        <v>1605431452</v>
      </c>
    </row>
    <row r="37" spans="1:6" ht="19.5" customHeight="1">
      <c r="A37" s="303"/>
      <c r="B37" s="294" t="s">
        <v>527</v>
      </c>
      <c r="C37" s="295">
        <f>부속tb!E157</f>
        <v>1611140464</v>
      </c>
      <c r="D37" s="295"/>
      <c r="E37" s="295">
        <v>1605431452</v>
      </c>
      <c r="F37" s="296"/>
    </row>
    <row r="38" spans="1:6" ht="19.5" customHeight="1">
      <c r="A38" s="306"/>
      <c r="B38" s="294" t="s">
        <v>528</v>
      </c>
      <c r="C38" s="295"/>
      <c r="D38" s="295"/>
      <c r="E38" s="295"/>
      <c r="F38" s="296"/>
    </row>
    <row r="39" spans="1:6" ht="19.5" customHeight="1">
      <c r="A39" s="308" t="s">
        <v>529</v>
      </c>
      <c r="B39" s="309"/>
      <c r="C39" s="310" t="s">
        <v>1</v>
      </c>
      <c r="D39" s="310">
        <f>D20+D17+D8</f>
        <v>210698855945</v>
      </c>
      <c r="E39" s="310" t="s">
        <v>1</v>
      </c>
      <c r="F39" s="311">
        <v>202784933198</v>
      </c>
    </row>
    <row r="40" spans="1:6" ht="24.75" customHeight="1">
      <c r="A40" s="312"/>
      <c r="B40" s="312"/>
      <c r="C40" s="313"/>
      <c r="D40" s="313"/>
      <c r="E40" s="313"/>
      <c r="F40" s="313"/>
    </row>
    <row r="41" spans="1:5" ht="19.5" customHeight="1">
      <c r="A41" s="205" t="s">
        <v>507</v>
      </c>
      <c r="B41" s="206"/>
      <c r="C41" s="206"/>
      <c r="D41" s="206"/>
      <c r="E41" s="206"/>
    </row>
    <row r="42" spans="1:6" ht="23.25" customHeight="1">
      <c r="A42" s="314" t="s">
        <v>530</v>
      </c>
      <c r="B42" s="315"/>
      <c r="C42" s="316"/>
      <c r="D42" s="316"/>
      <c r="E42" s="316"/>
      <c r="F42" s="317"/>
    </row>
    <row r="43" spans="1:6" ht="20.25" customHeight="1">
      <c r="A43" s="283" t="s">
        <v>318</v>
      </c>
      <c r="B43" s="284"/>
      <c r="C43" s="318" t="s">
        <v>531</v>
      </c>
      <c r="D43" s="318"/>
      <c r="E43" s="318" t="s">
        <v>531</v>
      </c>
      <c r="F43" s="319"/>
    </row>
    <row r="44" spans="1:6" ht="20.25" customHeight="1">
      <c r="A44" s="320" t="s">
        <v>319</v>
      </c>
      <c r="B44" s="321" t="s">
        <v>275</v>
      </c>
      <c r="C44" s="322" t="s">
        <v>275</v>
      </c>
      <c r="D44" s="322" t="s">
        <v>276</v>
      </c>
      <c r="E44" s="322" t="s">
        <v>275</v>
      </c>
      <c r="F44" s="323" t="s">
        <v>276</v>
      </c>
    </row>
    <row r="45" spans="1:6" ht="20.25" customHeight="1">
      <c r="A45" s="391" t="s">
        <v>532</v>
      </c>
      <c r="B45" s="324"/>
      <c r="C45" s="325"/>
      <c r="D45" s="326">
        <f>C46+C50+C54+C58</f>
        <v>59064976773</v>
      </c>
      <c r="E45" s="325"/>
      <c r="F45" s="327">
        <v>56979079175</v>
      </c>
    </row>
    <row r="46" spans="1:6" ht="20.25" customHeight="1">
      <c r="A46" s="328"/>
      <c r="B46" s="329" t="s">
        <v>533</v>
      </c>
      <c r="C46" s="60">
        <f>C47+C48-C49</f>
        <v>29350591329</v>
      </c>
      <c r="D46" s="60"/>
      <c r="E46" s="60">
        <v>27857916105</v>
      </c>
      <c r="F46" s="330"/>
    </row>
    <row r="47" spans="1:6" ht="20.25" customHeight="1">
      <c r="A47" s="328"/>
      <c r="B47" s="329" t="s">
        <v>534</v>
      </c>
      <c r="C47" s="60">
        <f>부속is!B19</f>
        <v>449409519</v>
      </c>
      <c r="D47" s="60"/>
      <c r="E47" s="60">
        <v>379372352</v>
      </c>
      <c r="F47" s="330"/>
    </row>
    <row r="48" spans="1:6" ht="20.25" customHeight="1">
      <c r="A48" s="331"/>
      <c r="B48" s="329" t="s">
        <v>535</v>
      </c>
      <c r="C48" s="60">
        <f>부속is!B20</f>
        <v>29336359390</v>
      </c>
      <c r="D48" s="60"/>
      <c r="E48" s="60">
        <v>27927953272</v>
      </c>
      <c r="F48" s="330"/>
    </row>
    <row r="49" spans="1:6" ht="20.25" customHeight="1">
      <c r="A49" s="392" t="s">
        <v>532</v>
      </c>
      <c r="B49" s="329" t="s">
        <v>536</v>
      </c>
      <c r="C49" s="60">
        <f>부속is!B21</f>
        <v>435177580</v>
      </c>
      <c r="D49" s="60"/>
      <c r="E49" s="60">
        <v>449409519</v>
      </c>
      <c r="F49" s="330"/>
    </row>
    <row r="50" spans="1:6" ht="20.25" customHeight="1">
      <c r="A50" s="328"/>
      <c r="B50" s="329" t="s">
        <v>537</v>
      </c>
      <c r="C50" s="60">
        <f>C51+C52-C53</f>
        <v>28486306917</v>
      </c>
      <c r="D50" s="60"/>
      <c r="E50" s="60">
        <v>27835661394</v>
      </c>
      <c r="F50" s="330"/>
    </row>
    <row r="51" spans="1:6" ht="20.25" customHeight="1">
      <c r="A51" s="328"/>
      <c r="B51" s="329" t="s">
        <v>538</v>
      </c>
      <c r="C51" s="60">
        <f>부속is!B23+부속is!B27</f>
        <v>35766654</v>
      </c>
      <c r="D51" s="60"/>
      <c r="E51" s="60">
        <f>26623692+0</f>
        <v>26623692</v>
      </c>
      <c r="F51" s="330"/>
    </row>
    <row r="52" spans="1:6" ht="20.25" customHeight="1">
      <c r="A52" s="328"/>
      <c r="B52" s="329" t="s">
        <v>539</v>
      </c>
      <c r="C52" s="60">
        <f>부속is!B24+부속is!B28</f>
        <v>28489619153</v>
      </c>
      <c r="D52" s="60"/>
      <c r="E52" s="60">
        <f>27841824356+2980000</f>
        <v>27844804356</v>
      </c>
      <c r="F52" s="330"/>
    </row>
    <row r="53" spans="1:6" ht="20.25" customHeight="1">
      <c r="A53" s="328"/>
      <c r="B53" s="329" t="s">
        <v>540</v>
      </c>
      <c r="C53" s="60">
        <f>부속is!B25+부속is!B29</f>
        <v>39078890</v>
      </c>
      <c r="D53" s="60"/>
      <c r="E53" s="60">
        <f>32786654+2980000</f>
        <v>35766654</v>
      </c>
      <c r="F53" s="330"/>
    </row>
    <row r="54" spans="1:6" ht="20.25" customHeight="1">
      <c r="A54" s="328"/>
      <c r="B54" s="329" t="s">
        <v>671</v>
      </c>
      <c r="C54" s="60">
        <f>C55+C56-C57</f>
        <v>0</v>
      </c>
      <c r="D54" s="60"/>
      <c r="E54" s="60">
        <v>0</v>
      </c>
      <c r="F54" s="330"/>
    </row>
    <row r="55" spans="1:6" ht="20.25" customHeight="1">
      <c r="A55" s="328"/>
      <c r="B55" s="329" t="s">
        <v>541</v>
      </c>
      <c r="C55" s="60"/>
      <c r="D55" s="60"/>
      <c r="E55" s="60">
        <v>0</v>
      </c>
      <c r="F55" s="330"/>
    </row>
    <row r="56" spans="1:6" ht="20.25" customHeight="1">
      <c r="A56" s="328"/>
      <c r="B56" s="329" t="s">
        <v>542</v>
      </c>
      <c r="C56" s="60"/>
      <c r="D56" s="60"/>
      <c r="E56" s="60">
        <v>0</v>
      </c>
      <c r="F56" s="330"/>
    </row>
    <row r="57" spans="1:6" ht="20.25" customHeight="1">
      <c r="A57" s="328"/>
      <c r="B57" s="329" t="s">
        <v>543</v>
      </c>
      <c r="C57" s="60"/>
      <c r="D57" s="60"/>
      <c r="E57" s="60">
        <v>0</v>
      </c>
      <c r="F57" s="330"/>
    </row>
    <row r="58" spans="1:6" ht="20.25" customHeight="1">
      <c r="A58" s="331"/>
      <c r="B58" s="329" t="s">
        <v>544</v>
      </c>
      <c r="C58" s="60">
        <f>부속is!B30</f>
        <v>1228078527</v>
      </c>
      <c r="D58" s="60"/>
      <c r="E58" s="60">
        <v>1285501676</v>
      </c>
      <c r="F58" s="330"/>
    </row>
    <row r="59" spans="1:6" ht="20.25" customHeight="1">
      <c r="A59" s="299" t="s">
        <v>409</v>
      </c>
      <c r="B59" s="300"/>
      <c r="C59" s="332"/>
      <c r="D59" s="332">
        <f>SUM(C60:C66)+C67+C68+C69</f>
        <v>69382091805</v>
      </c>
      <c r="E59" s="332"/>
      <c r="F59" s="333">
        <v>65292912484</v>
      </c>
    </row>
    <row r="60" spans="1:6" ht="20.25" customHeight="1">
      <c r="A60" s="293" t="s">
        <v>545</v>
      </c>
      <c r="B60" s="294" t="s">
        <v>546</v>
      </c>
      <c r="C60" s="60">
        <f>부속is!B32-C61+부속is!B56</f>
        <v>55580619990</v>
      </c>
      <c r="D60" s="60"/>
      <c r="E60" s="60">
        <f>48551599679+3813064072</f>
        <v>52364663751</v>
      </c>
      <c r="F60" s="330"/>
    </row>
    <row r="61" spans="1:6" ht="20.25" customHeight="1">
      <c r="A61" s="303"/>
      <c r="B61" s="294" t="s">
        <v>839</v>
      </c>
      <c r="C61" s="60">
        <f>+'사학자금(지출)'!G10</f>
        <v>7074018035</v>
      </c>
      <c r="D61" s="60"/>
      <c r="E61" s="60">
        <v>6684405120</v>
      </c>
      <c r="F61" s="330"/>
    </row>
    <row r="62" spans="1:6" ht="20.25" customHeight="1">
      <c r="A62" s="303"/>
      <c r="B62" s="294" t="s">
        <v>840</v>
      </c>
      <c r="C62" s="60">
        <f>+부속tb!A104</f>
        <v>5036738844</v>
      </c>
      <c r="D62" s="60"/>
      <c r="E62" s="60">
        <v>4645950532</v>
      </c>
      <c r="F62" s="330"/>
    </row>
    <row r="63" spans="1:6" ht="20.25" customHeight="1">
      <c r="A63" s="303"/>
      <c r="B63" s="294" t="s">
        <v>841</v>
      </c>
      <c r="C63" s="60"/>
      <c r="D63" s="60"/>
      <c r="E63" s="60"/>
      <c r="F63" s="330"/>
    </row>
    <row r="64" spans="1:6" ht="20.25" customHeight="1">
      <c r="A64" s="303"/>
      <c r="B64" s="294" t="s">
        <v>842</v>
      </c>
      <c r="C64" s="60"/>
      <c r="D64" s="60"/>
      <c r="E64" s="60"/>
      <c r="F64" s="330"/>
    </row>
    <row r="65" spans="1:6" ht="20.25" customHeight="1">
      <c r="A65" s="536" t="s">
        <v>1554</v>
      </c>
      <c r="B65" s="336" t="s">
        <v>1555</v>
      </c>
      <c r="C65" s="337">
        <f>+부속tb!A125</f>
        <v>1215191786</v>
      </c>
      <c r="D65" s="337"/>
      <c r="E65" s="337">
        <v>1133230845</v>
      </c>
      <c r="F65" s="338"/>
    </row>
    <row r="66" spans="1:6" ht="20.25" customHeight="1">
      <c r="A66" s="303"/>
      <c r="B66" s="336" t="s">
        <v>1556</v>
      </c>
      <c r="C66" s="337">
        <f>부속is!B57</f>
        <v>475024507</v>
      </c>
      <c r="D66" s="337"/>
      <c r="E66" s="337">
        <v>435340141</v>
      </c>
      <c r="F66" s="338"/>
    </row>
    <row r="67" spans="1:6" ht="20.25" customHeight="1">
      <c r="A67" s="303"/>
      <c r="B67" s="294" t="s">
        <v>1557</v>
      </c>
      <c r="C67" s="60">
        <f>부속is!B58</f>
        <v>132150</v>
      </c>
      <c r="D67" s="60"/>
      <c r="E67" s="60">
        <v>29020000</v>
      </c>
      <c r="F67" s="330"/>
    </row>
    <row r="68" spans="1:6" ht="20.25" customHeight="1">
      <c r="A68" s="303"/>
      <c r="B68" s="307" t="s">
        <v>1558</v>
      </c>
      <c r="C68" s="334">
        <f>+부속is!B61</f>
        <v>0</v>
      </c>
      <c r="D68" s="334"/>
      <c r="E68" s="334">
        <v>0</v>
      </c>
      <c r="F68" s="335"/>
    </row>
    <row r="69" spans="1:6" ht="20.25" customHeight="1">
      <c r="A69" s="306"/>
      <c r="B69" s="294" t="s">
        <v>1559</v>
      </c>
      <c r="C69" s="60">
        <f>부속is!B60</f>
        <v>366493</v>
      </c>
      <c r="D69" s="60"/>
      <c r="E69" s="60">
        <v>302095</v>
      </c>
      <c r="F69" s="330"/>
    </row>
    <row r="70" spans="1:6" ht="20.25" customHeight="1">
      <c r="A70" s="299" t="s">
        <v>426</v>
      </c>
      <c r="B70" s="294"/>
      <c r="C70" s="60"/>
      <c r="D70" s="332">
        <f>D71+D78+D87</f>
        <v>31118012953</v>
      </c>
      <c r="E70" s="60"/>
      <c r="F70" s="333">
        <v>28930731353</v>
      </c>
    </row>
    <row r="71" spans="1:6" ht="20.25" customHeight="1">
      <c r="A71" s="293" t="s">
        <v>547</v>
      </c>
      <c r="B71" s="294"/>
      <c r="C71" s="60"/>
      <c r="D71" s="60">
        <f>SUM(C72:C77)</f>
        <v>11815454235</v>
      </c>
      <c r="E71" s="60"/>
      <c r="F71" s="330">
        <v>10789180893</v>
      </c>
    </row>
    <row r="72" spans="1:6" ht="20.25" customHeight="1">
      <c r="A72" s="293" t="s">
        <v>547</v>
      </c>
      <c r="B72" s="294" t="s">
        <v>548</v>
      </c>
      <c r="C72" s="60">
        <f>부속is!B50</f>
        <v>3102411920</v>
      </c>
      <c r="D72" s="60"/>
      <c r="E72" s="60">
        <v>2611352353</v>
      </c>
      <c r="F72" s="330"/>
    </row>
    <row r="73" spans="1:6" ht="20.25" customHeight="1">
      <c r="A73" s="303"/>
      <c r="B73" s="294" t="s">
        <v>549</v>
      </c>
      <c r="C73" s="60">
        <f>부속is!B49+부속is!B83</f>
        <v>8656295315</v>
      </c>
      <c r="D73" s="60"/>
      <c r="E73" s="60">
        <v>8139061100</v>
      </c>
      <c r="F73" s="330"/>
    </row>
    <row r="74" spans="1:6" ht="20.25" customHeight="1">
      <c r="A74" s="303"/>
      <c r="B74" s="294" t="s">
        <v>550</v>
      </c>
      <c r="C74" s="60">
        <f>부속is!B51+부속is!B73</f>
        <v>15023400</v>
      </c>
      <c r="D74" s="60"/>
      <c r="E74" s="60">
        <v>6904350</v>
      </c>
      <c r="F74" s="330"/>
    </row>
    <row r="75" spans="1:6" ht="20.25" customHeight="1">
      <c r="A75" s="303"/>
      <c r="B75" s="294" t="s">
        <v>551</v>
      </c>
      <c r="C75" s="60">
        <f>부속is!B70</f>
        <v>41723600</v>
      </c>
      <c r="D75" s="60"/>
      <c r="E75" s="60">
        <v>31863090</v>
      </c>
      <c r="F75" s="330"/>
    </row>
    <row r="76" spans="1:6" ht="20.25" customHeight="1">
      <c r="A76" s="303"/>
      <c r="B76" s="294" t="s">
        <v>552</v>
      </c>
      <c r="C76" s="60">
        <v>0</v>
      </c>
      <c r="D76" s="60"/>
      <c r="E76" s="60">
        <v>0</v>
      </c>
      <c r="F76" s="330"/>
    </row>
    <row r="77" spans="1:6" ht="20.25" customHeight="1">
      <c r="A77" s="306"/>
      <c r="B77" s="294" t="s">
        <v>553</v>
      </c>
      <c r="C77" s="60">
        <v>0</v>
      </c>
      <c r="D77" s="60"/>
      <c r="E77" s="60">
        <v>0</v>
      </c>
      <c r="F77" s="330"/>
    </row>
    <row r="78" spans="1:6" ht="20.25" customHeight="1">
      <c r="A78" s="293" t="s">
        <v>554</v>
      </c>
      <c r="B78" s="294"/>
      <c r="C78" s="60"/>
      <c r="D78" s="60">
        <f>SUM(C79:C86)</f>
        <v>6850131195</v>
      </c>
      <c r="E78" s="60"/>
      <c r="F78" s="330">
        <v>6918148380</v>
      </c>
    </row>
    <row r="79" spans="1:6" ht="20.25" customHeight="1">
      <c r="A79" s="303"/>
      <c r="B79" s="294" t="s">
        <v>555</v>
      </c>
      <c r="C79" s="60">
        <f>부속is!B40+부속is!B63</f>
        <v>58068954</v>
      </c>
      <c r="D79" s="60"/>
      <c r="E79" s="60">
        <v>48060048</v>
      </c>
      <c r="F79" s="330"/>
    </row>
    <row r="80" spans="1:6" ht="20.25" customHeight="1">
      <c r="A80" s="303"/>
      <c r="B80" s="294" t="s">
        <v>556</v>
      </c>
      <c r="C80" s="60">
        <f>부속is!B72</f>
        <v>54728194</v>
      </c>
      <c r="D80" s="60"/>
      <c r="E80" s="60">
        <v>63991845</v>
      </c>
      <c r="F80" s="330"/>
    </row>
    <row r="81" spans="1:6" ht="20.25" customHeight="1">
      <c r="A81" s="303"/>
      <c r="B81" s="294" t="s">
        <v>557</v>
      </c>
      <c r="C81" s="60">
        <f>부속is!B43+부속is!B67</f>
        <v>417727471</v>
      </c>
      <c r="D81" s="60"/>
      <c r="E81" s="60">
        <v>359704326</v>
      </c>
      <c r="F81" s="330"/>
    </row>
    <row r="82" spans="1:6" ht="20.25" customHeight="1">
      <c r="A82" s="303"/>
      <c r="B82" s="294" t="s">
        <v>558</v>
      </c>
      <c r="C82" s="60">
        <f>부속is!B45+부속is!B68</f>
        <v>250131269</v>
      </c>
      <c r="D82" s="60"/>
      <c r="E82" s="60">
        <v>225983031</v>
      </c>
      <c r="F82" s="330"/>
    </row>
    <row r="83" spans="1:6" ht="20.25" customHeight="1">
      <c r="A83" s="303"/>
      <c r="B83" s="294" t="s">
        <v>559</v>
      </c>
      <c r="C83" s="60">
        <f>부속is!B41</f>
        <v>3141819139</v>
      </c>
      <c r="D83" s="60"/>
      <c r="E83" s="60">
        <v>3213932805</v>
      </c>
      <c r="F83" s="330"/>
    </row>
    <row r="84" spans="1:6" ht="20.25" customHeight="1">
      <c r="A84" s="303"/>
      <c r="B84" s="294" t="s">
        <v>560</v>
      </c>
      <c r="C84" s="60">
        <f>부속is!B64</f>
        <v>183485010</v>
      </c>
      <c r="D84" s="60"/>
      <c r="E84" s="60">
        <v>187953265</v>
      </c>
      <c r="F84" s="330"/>
    </row>
    <row r="85" spans="1:6" ht="20.25" customHeight="1">
      <c r="A85" s="303"/>
      <c r="B85" s="336" t="s">
        <v>561</v>
      </c>
      <c r="C85" s="337">
        <f>부속is!B42+부속is!B66</f>
        <v>1388886076</v>
      </c>
      <c r="D85" s="337"/>
      <c r="E85" s="337">
        <v>1326182080</v>
      </c>
      <c r="F85" s="338"/>
    </row>
    <row r="86" spans="1:6" ht="20.25" customHeight="1">
      <c r="A86" s="306"/>
      <c r="B86" s="294" t="s">
        <v>562</v>
      </c>
      <c r="C86" s="60">
        <f>부속is!B47+부속is!B71</f>
        <v>1355285082</v>
      </c>
      <c r="D86" s="60"/>
      <c r="E86" s="60">
        <v>1492340980</v>
      </c>
      <c r="F86" s="330"/>
    </row>
    <row r="87" spans="1:6" ht="20.25" customHeight="1">
      <c r="A87" s="293" t="s">
        <v>563</v>
      </c>
      <c r="B87" s="294"/>
      <c r="C87" s="60"/>
      <c r="D87" s="60">
        <f>SUM(C88:C98)</f>
        <v>12452427523</v>
      </c>
      <c r="E87" s="60"/>
      <c r="F87" s="330">
        <v>11223402080</v>
      </c>
    </row>
    <row r="88" spans="1:6" ht="20.25" customHeight="1">
      <c r="A88" s="303"/>
      <c r="B88" s="336" t="s">
        <v>446</v>
      </c>
      <c r="C88" s="337">
        <f>부속is!B39+부속is!B62</f>
        <v>617561821</v>
      </c>
      <c r="D88" s="337"/>
      <c r="E88" s="337">
        <v>613989141</v>
      </c>
      <c r="F88" s="338"/>
    </row>
    <row r="89" spans="1:6" ht="20.25" customHeight="1">
      <c r="A89" s="303"/>
      <c r="B89" s="336" t="s">
        <v>720</v>
      </c>
      <c r="C89" s="334">
        <v>0</v>
      </c>
      <c r="D89" s="334"/>
      <c r="E89" s="334">
        <v>0</v>
      </c>
      <c r="F89" s="335"/>
    </row>
    <row r="90" spans="1:6" ht="20.25" customHeight="1">
      <c r="A90" s="303"/>
      <c r="B90" s="294" t="s">
        <v>721</v>
      </c>
      <c r="C90" s="60">
        <f>부속is!B52+부속is!B78</f>
        <v>130462705</v>
      </c>
      <c r="D90" s="60"/>
      <c r="E90" s="60">
        <v>178798931</v>
      </c>
      <c r="F90" s="330"/>
    </row>
    <row r="91" spans="1:6" ht="20.25" customHeight="1">
      <c r="A91" s="303"/>
      <c r="B91" s="294" t="s">
        <v>564</v>
      </c>
      <c r="C91" s="60">
        <f>부속is!B76</f>
        <v>61491526</v>
      </c>
      <c r="D91" s="60"/>
      <c r="E91" s="60">
        <v>57633590</v>
      </c>
      <c r="F91" s="330"/>
    </row>
    <row r="92" spans="1:6" ht="20.25" customHeight="1">
      <c r="A92" s="306"/>
      <c r="B92" s="294" t="s">
        <v>565</v>
      </c>
      <c r="C92" s="60">
        <f>부속is!B77</f>
        <v>371908763</v>
      </c>
      <c r="D92" s="60"/>
      <c r="E92" s="60">
        <v>270739230</v>
      </c>
      <c r="F92" s="330"/>
    </row>
    <row r="93" spans="1:6" ht="20.25" customHeight="1">
      <c r="A93" s="293" t="s">
        <v>563</v>
      </c>
      <c r="B93" s="294" t="s">
        <v>566</v>
      </c>
      <c r="C93" s="60">
        <f>부속is!B46+부속is!B69</f>
        <v>8917467196</v>
      </c>
      <c r="D93" s="60"/>
      <c r="E93" s="60">
        <v>8381210827</v>
      </c>
      <c r="F93" s="330"/>
    </row>
    <row r="94" spans="1:6" ht="20.25" customHeight="1">
      <c r="A94" s="303"/>
      <c r="B94" s="307" t="s">
        <v>567</v>
      </c>
      <c r="C94" s="334">
        <v>36560640</v>
      </c>
      <c r="D94" s="334"/>
      <c r="E94" s="334">
        <v>617468</v>
      </c>
      <c r="F94" s="335"/>
    </row>
    <row r="95" spans="1:6" ht="20.25" customHeight="1">
      <c r="A95" s="303"/>
      <c r="B95" s="294" t="s">
        <v>568</v>
      </c>
      <c r="C95" s="60">
        <f>부속is!B48</f>
        <v>1347231572</v>
      </c>
      <c r="D95" s="60"/>
      <c r="E95" s="60">
        <v>853947032</v>
      </c>
      <c r="F95" s="330"/>
    </row>
    <row r="96" spans="1:6" ht="20.25" customHeight="1">
      <c r="A96" s="303"/>
      <c r="B96" s="294" t="s">
        <v>569</v>
      </c>
      <c r="C96" s="60">
        <f>+부속is!B108</f>
        <v>968504810</v>
      </c>
      <c r="D96" s="60"/>
      <c r="E96" s="60">
        <v>865789476</v>
      </c>
      <c r="F96" s="330"/>
    </row>
    <row r="97" spans="1:6" ht="20.25" customHeight="1">
      <c r="A97" s="303"/>
      <c r="B97" s="294" t="s">
        <v>570</v>
      </c>
      <c r="C97" s="60">
        <v>0</v>
      </c>
      <c r="D97" s="60"/>
      <c r="E97" s="60">
        <v>0</v>
      </c>
      <c r="F97" s="330"/>
    </row>
    <row r="98" spans="1:6" ht="20.25" customHeight="1">
      <c r="A98" s="306"/>
      <c r="B98" s="294" t="s">
        <v>571</v>
      </c>
      <c r="C98" s="60">
        <f>부속is!B80</f>
        <v>1238490</v>
      </c>
      <c r="D98" s="60"/>
      <c r="E98" s="60">
        <v>676385</v>
      </c>
      <c r="F98" s="330"/>
    </row>
    <row r="99" spans="1:6" ht="20.25" customHeight="1">
      <c r="A99" s="299" t="s">
        <v>458</v>
      </c>
      <c r="B99" s="300"/>
      <c r="C99" s="332"/>
      <c r="D99" s="332">
        <f>D100+D102</f>
        <v>53171136726</v>
      </c>
      <c r="E99" s="332"/>
      <c r="F99" s="333">
        <v>56937803559</v>
      </c>
    </row>
    <row r="100" spans="1:6" ht="20.25" customHeight="1">
      <c r="A100" s="293" t="s">
        <v>459</v>
      </c>
      <c r="B100" s="294"/>
      <c r="C100" s="60"/>
      <c r="D100" s="60">
        <f>SUM(C101)</f>
        <v>0</v>
      </c>
      <c r="E100" s="60"/>
      <c r="F100" s="330">
        <v>0</v>
      </c>
    </row>
    <row r="101" spans="1:6" ht="20.25" customHeight="1">
      <c r="A101" s="306"/>
      <c r="B101" s="294" t="s">
        <v>460</v>
      </c>
      <c r="C101" s="60">
        <f>부속is!B102</f>
        <v>0</v>
      </c>
      <c r="D101" s="60"/>
      <c r="E101" s="60">
        <v>0</v>
      </c>
      <c r="F101" s="330"/>
    </row>
    <row r="102" spans="1:6" ht="20.25" customHeight="1">
      <c r="A102" s="293" t="s">
        <v>461</v>
      </c>
      <c r="B102" s="294"/>
      <c r="C102" s="60"/>
      <c r="D102" s="60">
        <f>SUM(C103:C110)+C111+C112</f>
        <v>53171136726</v>
      </c>
      <c r="E102" s="60"/>
      <c r="F102" s="330">
        <v>56937803559</v>
      </c>
    </row>
    <row r="103" spans="1:6" ht="20.25" customHeight="1">
      <c r="A103" s="303"/>
      <c r="B103" s="294" t="s">
        <v>462</v>
      </c>
      <c r="C103" s="60">
        <f>부속is!B112</f>
        <v>242253832</v>
      </c>
      <c r="D103" s="60"/>
      <c r="E103" s="60">
        <v>2648257060</v>
      </c>
      <c r="F103" s="330"/>
    </row>
    <row r="104" spans="1:6" ht="20.25" customHeight="1">
      <c r="A104" s="303"/>
      <c r="B104" s="294" t="s">
        <v>572</v>
      </c>
      <c r="C104" s="60">
        <v>0</v>
      </c>
      <c r="D104" s="60"/>
      <c r="E104" s="60">
        <v>0</v>
      </c>
      <c r="F104" s="330"/>
    </row>
    <row r="105" spans="1:6" ht="20.25" customHeight="1">
      <c r="A105" s="303"/>
      <c r="B105" s="294" t="s">
        <v>573</v>
      </c>
      <c r="C105" s="60">
        <f>부속is!B103</f>
        <v>0</v>
      </c>
      <c r="D105" s="60"/>
      <c r="E105" s="60">
        <v>0</v>
      </c>
      <c r="F105" s="330"/>
    </row>
    <row r="106" spans="1:6" ht="20.25" customHeight="1">
      <c r="A106" s="303" t="s">
        <v>574</v>
      </c>
      <c r="B106" s="336" t="s">
        <v>575</v>
      </c>
      <c r="C106" s="337">
        <f>+'시산표(현금유출입)'!D171</f>
        <v>52928882894</v>
      </c>
      <c r="D106" s="337"/>
      <c r="E106" s="337">
        <v>54289148999</v>
      </c>
      <c r="F106" s="338"/>
    </row>
    <row r="107" spans="1:6" ht="20.25" customHeight="1">
      <c r="A107" s="303"/>
      <c r="B107" s="294" t="s">
        <v>576</v>
      </c>
      <c r="C107" s="60">
        <f>부속is!B105</f>
        <v>0</v>
      </c>
      <c r="D107" s="60"/>
      <c r="E107" s="60">
        <v>0</v>
      </c>
      <c r="F107" s="330"/>
    </row>
    <row r="108" spans="1:6" ht="20.25" customHeight="1">
      <c r="A108" s="303"/>
      <c r="B108" s="294" t="s">
        <v>577</v>
      </c>
      <c r="C108" s="60">
        <v>0</v>
      </c>
      <c r="D108" s="60"/>
      <c r="E108" s="60">
        <v>0</v>
      </c>
      <c r="F108" s="330"/>
    </row>
    <row r="109" spans="1:6" ht="20.25" customHeight="1">
      <c r="A109" s="303"/>
      <c r="B109" s="294" t="s">
        <v>578</v>
      </c>
      <c r="C109" s="60">
        <f>+부속is!B121</f>
        <v>0</v>
      </c>
      <c r="D109" s="60"/>
      <c r="E109" s="60">
        <v>0</v>
      </c>
      <c r="F109" s="330"/>
    </row>
    <row r="110" spans="1:6" ht="20.25" customHeight="1">
      <c r="A110" s="303"/>
      <c r="B110" s="294" t="s">
        <v>801</v>
      </c>
      <c r="C110" s="60">
        <v>0</v>
      </c>
      <c r="D110" s="60"/>
      <c r="E110" s="60">
        <v>700000</v>
      </c>
      <c r="F110" s="330"/>
    </row>
    <row r="111" spans="1:6" ht="22.5" customHeight="1">
      <c r="A111" s="303"/>
      <c r="B111" s="336" t="s">
        <v>579</v>
      </c>
      <c r="C111" s="337">
        <f>부속is!B119</f>
        <v>0</v>
      </c>
      <c r="D111" s="337"/>
      <c r="E111" s="337">
        <v>0</v>
      </c>
      <c r="F111" s="338"/>
    </row>
    <row r="112" spans="1:6" ht="22.5" customHeight="1">
      <c r="A112" s="306"/>
      <c r="B112" s="294" t="s">
        <v>791</v>
      </c>
      <c r="C112" s="60">
        <v>0</v>
      </c>
      <c r="D112" s="60"/>
      <c r="E112" s="60">
        <v>-302500</v>
      </c>
      <c r="F112" s="330"/>
    </row>
    <row r="113" spans="1:6" ht="22.5" customHeight="1">
      <c r="A113" s="542" t="s">
        <v>580</v>
      </c>
      <c r="B113" s="543"/>
      <c r="C113" s="60"/>
      <c r="D113" s="332">
        <f>D99+D70+D59+D45</f>
        <v>212736218257</v>
      </c>
      <c r="E113" s="60"/>
      <c r="F113" s="333">
        <v>208140526571</v>
      </c>
    </row>
    <row r="114" spans="1:6" ht="22.5" customHeight="1">
      <c r="A114" s="286" t="s">
        <v>581</v>
      </c>
      <c r="B114" s="339"/>
      <c r="C114" s="60"/>
      <c r="D114" s="332">
        <f>SUM(C115:C116)</f>
        <v>0</v>
      </c>
      <c r="E114" s="60"/>
      <c r="F114" s="333">
        <v>0</v>
      </c>
    </row>
    <row r="115" spans="1:6" ht="22.5" customHeight="1">
      <c r="A115" s="328"/>
      <c r="B115" s="294" t="s">
        <v>582</v>
      </c>
      <c r="C115" s="60">
        <v>0</v>
      </c>
      <c r="D115" s="60" t="s">
        <v>1</v>
      </c>
      <c r="E115" s="60">
        <v>0</v>
      </c>
      <c r="F115" s="330" t="s">
        <v>1</v>
      </c>
    </row>
    <row r="116" spans="1:6" ht="22.5" customHeight="1">
      <c r="A116" s="331"/>
      <c r="B116" s="294" t="s">
        <v>583</v>
      </c>
      <c r="C116" s="60">
        <v>0</v>
      </c>
      <c r="D116" s="60" t="s">
        <v>1</v>
      </c>
      <c r="E116" s="60">
        <v>0</v>
      </c>
      <c r="F116" s="330" t="s">
        <v>1</v>
      </c>
    </row>
    <row r="117" spans="1:6" ht="22.5" customHeight="1">
      <c r="A117" s="544" t="s">
        <v>586</v>
      </c>
      <c r="B117" s="545"/>
      <c r="C117" s="60"/>
      <c r="D117" s="60"/>
      <c r="E117" s="60"/>
      <c r="F117" s="330"/>
    </row>
    <row r="118" spans="1:6" ht="22.5" customHeight="1">
      <c r="A118" s="542" t="s">
        <v>584</v>
      </c>
      <c r="B118" s="543"/>
      <c r="C118" s="60"/>
      <c r="D118" s="332">
        <f>D39-D113-D114+D117</f>
        <v>-2037362312</v>
      </c>
      <c r="E118" s="332"/>
      <c r="F118" s="340">
        <v>-5355593373</v>
      </c>
    </row>
    <row r="119" spans="1:6" ht="22.5" customHeight="1">
      <c r="A119" s="308" t="s">
        <v>585</v>
      </c>
      <c r="B119" s="309"/>
      <c r="C119" s="341"/>
      <c r="D119" s="341">
        <f>D113+D118</f>
        <v>210698855945</v>
      </c>
      <c r="E119" s="341"/>
      <c r="F119" s="342">
        <v>202784933198</v>
      </c>
    </row>
    <row r="120" spans="1:6" ht="14.25">
      <c r="A120" s="343"/>
      <c r="B120" s="343"/>
      <c r="C120" s="343"/>
      <c r="D120" s="343"/>
      <c r="E120" s="343"/>
      <c r="F120" s="343"/>
    </row>
    <row r="121" spans="1:6" ht="14.25">
      <c r="A121" s="343"/>
      <c r="B121" s="343"/>
      <c r="C121" s="344"/>
      <c r="D121" s="344">
        <f>D119-D39</f>
        <v>0</v>
      </c>
      <c r="E121" s="343"/>
      <c r="F121" s="343"/>
    </row>
    <row r="122" spans="1:6" ht="14.25">
      <c r="A122" s="343"/>
      <c r="B122" s="343"/>
      <c r="C122" s="343"/>
      <c r="D122" s="343"/>
      <c r="E122" s="343"/>
      <c r="F122" s="343"/>
    </row>
    <row r="123" spans="1:6" ht="14.25">
      <c r="A123" s="343"/>
      <c r="B123" s="343"/>
      <c r="C123" s="343"/>
      <c r="D123" s="344"/>
      <c r="E123" s="343"/>
      <c r="F123" s="343"/>
    </row>
    <row r="124" spans="1:6" ht="14.25">
      <c r="A124" s="343"/>
      <c r="B124" s="343"/>
      <c r="C124" s="344"/>
      <c r="D124" s="343"/>
      <c r="E124" s="343"/>
      <c r="F124" s="343"/>
    </row>
    <row r="125" spans="1:6" ht="14.25">
      <c r="A125" s="343"/>
      <c r="B125" s="343"/>
      <c r="C125" s="343"/>
      <c r="D125" s="343"/>
      <c r="E125" s="343"/>
      <c r="F125" s="343"/>
    </row>
    <row r="126" spans="1:6" ht="14.25">
      <c r="A126" s="343"/>
      <c r="B126" s="343"/>
      <c r="C126" s="343"/>
      <c r="D126" s="343"/>
      <c r="E126" s="343"/>
      <c r="F126" s="343"/>
    </row>
    <row r="127" spans="1:6" ht="14.25">
      <c r="A127" s="345"/>
      <c r="B127" s="345"/>
      <c r="C127" s="345"/>
      <c r="D127" s="345"/>
      <c r="E127" s="345"/>
      <c r="F127" s="345"/>
    </row>
    <row r="128" spans="1:6" ht="14.25">
      <c r="A128" s="345"/>
      <c r="B128" s="345"/>
      <c r="C128" s="345"/>
      <c r="D128" s="345"/>
      <c r="E128" s="345"/>
      <c r="F128" s="345"/>
    </row>
    <row r="129" spans="1:6" ht="14.25">
      <c r="A129" s="345"/>
      <c r="B129" s="345"/>
      <c r="C129" s="345"/>
      <c r="D129" s="345"/>
      <c r="E129" s="345"/>
      <c r="F129" s="345"/>
    </row>
    <row r="130" spans="1:6" ht="14.25">
      <c r="A130" s="345"/>
      <c r="B130" s="345"/>
      <c r="C130" s="345"/>
      <c r="D130" s="345"/>
      <c r="E130" s="345"/>
      <c r="F130" s="345"/>
    </row>
    <row r="131" spans="1:6" ht="14.25">
      <c r="A131" s="345"/>
      <c r="B131" s="345"/>
      <c r="C131" s="345"/>
      <c r="D131" s="345"/>
      <c r="E131" s="345"/>
      <c r="F131" s="345"/>
    </row>
    <row r="132" spans="1:6" ht="14.25">
      <c r="A132" s="345"/>
      <c r="B132" s="345"/>
      <c r="C132" s="345"/>
      <c r="D132" s="345"/>
      <c r="E132" s="345"/>
      <c r="F132" s="345"/>
    </row>
    <row r="133" spans="1:6" ht="14.25">
      <c r="A133" s="345"/>
      <c r="B133" s="345"/>
      <c r="C133" s="345"/>
      <c r="D133" s="345"/>
      <c r="E133" s="345"/>
      <c r="F133" s="345"/>
    </row>
    <row r="134" spans="1:6" ht="14.25">
      <c r="A134" s="345"/>
      <c r="B134" s="345"/>
      <c r="C134" s="345"/>
      <c r="D134" s="345"/>
      <c r="E134" s="345"/>
      <c r="F134" s="345"/>
    </row>
    <row r="135" spans="1:6" ht="14.25">
      <c r="A135" s="345"/>
      <c r="B135" s="345"/>
      <c r="C135" s="345"/>
      <c r="D135" s="345"/>
      <c r="E135" s="345"/>
      <c r="F135" s="345"/>
    </row>
    <row r="136" spans="1:6" ht="14.25">
      <c r="A136" s="345"/>
      <c r="B136" s="345"/>
      <c r="C136" s="345"/>
      <c r="D136" s="345"/>
      <c r="E136" s="345"/>
      <c r="F136" s="345"/>
    </row>
    <row r="137" spans="1:6" ht="14.25">
      <c r="A137" s="345"/>
      <c r="B137" s="345"/>
      <c r="C137" s="345"/>
      <c r="D137" s="345"/>
      <c r="E137" s="345"/>
      <c r="F137" s="345"/>
    </row>
    <row r="138" spans="1:6" ht="14.25">
      <c r="A138" s="345"/>
      <c r="B138" s="345"/>
      <c r="C138" s="345"/>
      <c r="D138" s="345"/>
      <c r="E138" s="345"/>
      <c r="F138" s="345"/>
    </row>
    <row r="139" spans="1:6" ht="14.25">
      <c r="A139" s="345"/>
      <c r="B139" s="345"/>
      <c r="C139" s="345"/>
      <c r="D139" s="345"/>
      <c r="E139" s="345"/>
      <c r="F139" s="345"/>
    </row>
    <row r="140" spans="1:6" ht="14.25">
      <c r="A140" s="345"/>
      <c r="B140" s="345"/>
      <c r="C140" s="345"/>
      <c r="D140" s="345"/>
      <c r="E140" s="345"/>
      <c r="F140" s="345"/>
    </row>
    <row r="141" spans="1:6" ht="14.25">
      <c r="A141" s="345"/>
      <c r="B141" s="345"/>
      <c r="C141" s="345"/>
      <c r="D141" s="345"/>
      <c r="E141" s="345"/>
      <c r="F141" s="345"/>
    </row>
    <row r="142" spans="1:6" ht="14.25">
      <c r="A142" s="345"/>
      <c r="B142" s="345"/>
      <c r="C142" s="345"/>
      <c r="D142" s="345"/>
      <c r="E142" s="345"/>
      <c r="F142" s="345"/>
    </row>
    <row r="143" spans="1:6" ht="14.25">
      <c r="A143" s="345"/>
      <c r="B143" s="345"/>
      <c r="C143" s="345"/>
      <c r="D143" s="345"/>
      <c r="E143" s="345"/>
      <c r="F143" s="345"/>
    </row>
    <row r="144" spans="1:6" ht="14.25">
      <c r="A144" s="345"/>
      <c r="B144" s="345"/>
      <c r="C144" s="345"/>
      <c r="D144" s="345"/>
      <c r="E144" s="345"/>
      <c r="F144" s="345"/>
    </row>
    <row r="145" spans="1:6" ht="14.25">
      <c r="A145" s="345"/>
      <c r="B145" s="345"/>
      <c r="C145" s="345"/>
      <c r="D145" s="345"/>
      <c r="E145" s="345"/>
      <c r="F145" s="345"/>
    </row>
    <row r="146" spans="1:6" ht="14.25">
      <c r="A146" s="345"/>
      <c r="B146" s="345"/>
      <c r="C146" s="345"/>
      <c r="D146" s="345"/>
      <c r="E146" s="345"/>
      <c r="F146" s="345"/>
    </row>
    <row r="147" spans="1:6" ht="14.25">
      <c r="A147" s="345"/>
      <c r="B147" s="345"/>
      <c r="C147" s="345"/>
      <c r="D147" s="345"/>
      <c r="E147" s="345"/>
      <c r="F147" s="345"/>
    </row>
    <row r="148" spans="1:6" ht="14.25">
      <c r="A148" s="345"/>
      <c r="B148" s="345"/>
      <c r="C148" s="345"/>
      <c r="D148" s="345"/>
      <c r="E148" s="345"/>
      <c r="F148" s="345"/>
    </row>
    <row r="149" spans="1:6" ht="14.25">
      <c r="A149" s="345"/>
      <c r="B149" s="345"/>
      <c r="C149" s="345"/>
      <c r="D149" s="345"/>
      <c r="E149" s="345"/>
      <c r="F149" s="345"/>
    </row>
    <row r="150" spans="1:6" ht="14.25">
      <c r="A150" s="345"/>
      <c r="B150" s="345"/>
      <c r="C150" s="345"/>
      <c r="D150" s="345"/>
      <c r="E150" s="345"/>
      <c r="F150" s="345"/>
    </row>
    <row r="151" spans="1:6" ht="14.25">
      <c r="A151" s="345"/>
      <c r="B151" s="345"/>
      <c r="C151" s="345"/>
      <c r="D151" s="345"/>
      <c r="E151" s="345"/>
      <c r="F151" s="345"/>
    </row>
    <row r="152" spans="1:6" ht="14.25">
      <c r="A152" s="345"/>
      <c r="B152" s="345"/>
      <c r="C152" s="345"/>
      <c r="D152" s="345"/>
      <c r="E152" s="345"/>
      <c r="F152" s="345"/>
    </row>
    <row r="153" spans="1:6" ht="14.25">
      <c r="A153" s="345"/>
      <c r="B153" s="345"/>
      <c r="C153" s="345"/>
      <c r="D153" s="345"/>
      <c r="E153" s="345"/>
      <c r="F153" s="345"/>
    </row>
    <row r="154" spans="1:6" ht="14.25">
      <c r="A154" s="345"/>
      <c r="B154" s="345"/>
      <c r="C154" s="345"/>
      <c r="D154" s="345"/>
      <c r="E154" s="345"/>
      <c r="F154" s="345"/>
    </row>
    <row r="155" spans="1:6" ht="14.25">
      <c r="A155" s="345"/>
      <c r="B155" s="345"/>
      <c r="C155" s="345"/>
      <c r="D155" s="345"/>
      <c r="E155" s="345"/>
      <c r="F155" s="345"/>
    </row>
    <row r="156" spans="1:6" ht="14.25">
      <c r="A156" s="345"/>
      <c r="B156" s="345"/>
      <c r="C156" s="345"/>
      <c r="D156" s="345"/>
      <c r="E156" s="345"/>
      <c r="F156" s="345"/>
    </row>
    <row r="157" spans="1:6" ht="14.25">
      <c r="A157" s="345"/>
      <c r="B157" s="345"/>
      <c r="C157" s="345"/>
      <c r="D157" s="345"/>
      <c r="E157" s="345"/>
      <c r="F157" s="345"/>
    </row>
    <row r="158" spans="1:6" ht="14.25">
      <c r="A158" s="345"/>
      <c r="B158" s="345"/>
      <c r="C158" s="345"/>
      <c r="D158" s="345"/>
      <c r="E158" s="345"/>
      <c r="F158" s="345"/>
    </row>
    <row r="159" spans="1:6" ht="14.25">
      <c r="A159" s="345"/>
      <c r="B159" s="345"/>
      <c r="C159" s="345"/>
      <c r="D159" s="345"/>
      <c r="E159" s="345"/>
      <c r="F159" s="345"/>
    </row>
    <row r="160" spans="1:6" ht="14.25">
      <c r="A160" s="345"/>
      <c r="B160" s="345"/>
      <c r="C160" s="345"/>
      <c r="D160" s="345"/>
      <c r="E160" s="345"/>
      <c r="F160" s="345"/>
    </row>
    <row r="161" spans="1:6" ht="14.25">
      <c r="A161" s="345"/>
      <c r="B161" s="345"/>
      <c r="C161" s="345"/>
      <c r="D161" s="345"/>
      <c r="E161" s="345"/>
      <c r="F161" s="345"/>
    </row>
    <row r="162" spans="1:6" ht="14.25">
      <c r="A162" s="345"/>
      <c r="B162" s="345"/>
      <c r="C162" s="345"/>
      <c r="D162" s="345"/>
      <c r="E162" s="345"/>
      <c r="F162" s="345"/>
    </row>
    <row r="163" spans="1:6" ht="14.25">
      <c r="A163" s="345"/>
      <c r="B163" s="345"/>
      <c r="C163" s="345"/>
      <c r="D163" s="345"/>
      <c r="E163" s="345"/>
      <c r="F163" s="345"/>
    </row>
    <row r="164" spans="1:6" ht="14.25">
      <c r="A164" s="345"/>
      <c r="B164" s="345"/>
      <c r="C164" s="345"/>
      <c r="D164" s="345"/>
      <c r="E164" s="345"/>
      <c r="F164" s="345"/>
    </row>
    <row r="165" spans="1:6" ht="14.25">
      <c r="A165" s="345"/>
      <c r="B165" s="345"/>
      <c r="C165" s="345"/>
      <c r="D165" s="345"/>
      <c r="E165" s="345"/>
      <c r="F165" s="345"/>
    </row>
    <row r="166" spans="1:6" ht="14.25">
      <c r="A166" s="345"/>
      <c r="B166" s="345"/>
      <c r="C166" s="345"/>
      <c r="D166" s="345"/>
      <c r="E166" s="345"/>
      <c r="F166" s="345"/>
    </row>
    <row r="167" spans="1:6" ht="14.25">
      <c r="A167" s="345"/>
      <c r="B167" s="345"/>
      <c r="C167" s="345"/>
      <c r="D167" s="345"/>
      <c r="E167" s="345"/>
      <c r="F167" s="345"/>
    </row>
    <row r="168" spans="1:6" ht="14.25">
      <c r="A168" s="345"/>
      <c r="B168" s="345"/>
      <c r="C168" s="345"/>
      <c r="D168" s="345"/>
      <c r="E168" s="345"/>
      <c r="F168" s="345"/>
    </row>
    <row r="169" spans="1:6" ht="14.25">
      <c r="A169" s="345"/>
      <c r="B169" s="345"/>
      <c r="C169" s="345"/>
      <c r="D169" s="345"/>
      <c r="E169" s="345"/>
      <c r="F169" s="345"/>
    </row>
    <row r="170" spans="1:6" ht="14.25">
      <c r="A170" s="345"/>
      <c r="B170" s="345"/>
      <c r="C170" s="345"/>
      <c r="D170" s="345"/>
      <c r="E170" s="345"/>
      <c r="F170" s="345"/>
    </row>
    <row r="171" spans="1:6" ht="14.25">
      <c r="A171" s="345"/>
      <c r="B171" s="345"/>
      <c r="C171" s="345"/>
      <c r="D171" s="345"/>
      <c r="E171" s="345"/>
      <c r="F171" s="345"/>
    </row>
    <row r="172" spans="1:6" ht="14.25">
      <c r="A172" s="345"/>
      <c r="B172" s="345"/>
      <c r="C172" s="345"/>
      <c r="D172" s="345"/>
      <c r="E172" s="345"/>
      <c r="F172" s="345"/>
    </row>
    <row r="173" spans="1:6" ht="14.25">
      <c r="A173" s="345"/>
      <c r="B173" s="345"/>
      <c r="C173" s="345"/>
      <c r="D173" s="345"/>
      <c r="E173" s="345"/>
      <c r="F173" s="345"/>
    </row>
    <row r="174" spans="1:6" ht="14.25">
      <c r="A174" s="345"/>
      <c r="B174" s="345"/>
      <c r="C174" s="345"/>
      <c r="D174" s="345"/>
      <c r="E174" s="345"/>
      <c r="F174" s="345"/>
    </row>
    <row r="175" spans="1:6" ht="14.25">
      <c r="A175" s="345"/>
      <c r="B175" s="345"/>
      <c r="C175" s="345"/>
      <c r="D175" s="345"/>
      <c r="E175" s="345"/>
      <c r="F175" s="345"/>
    </row>
    <row r="176" spans="1:6" ht="14.25">
      <c r="A176" s="345"/>
      <c r="B176" s="345"/>
      <c r="C176" s="345"/>
      <c r="D176" s="345"/>
      <c r="E176" s="345"/>
      <c r="F176" s="345"/>
    </row>
    <row r="177" spans="1:6" ht="14.25">
      <c r="A177" s="345"/>
      <c r="B177" s="345"/>
      <c r="C177" s="345"/>
      <c r="D177" s="345"/>
      <c r="E177" s="345"/>
      <c r="F177" s="345"/>
    </row>
    <row r="178" spans="1:6" ht="14.25">
      <c r="A178" s="345"/>
      <c r="B178" s="345"/>
      <c r="C178" s="345"/>
      <c r="D178" s="345"/>
      <c r="E178" s="345"/>
      <c r="F178" s="345"/>
    </row>
    <row r="179" spans="1:6" ht="14.25">
      <c r="A179" s="345"/>
      <c r="B179" s="345"/>
      <c r="C179" s="345"/>
      <c r="D179" s="345"/>
      <c r="E179" s="345"/>
      <c r="F179" s="345"/>
    </row>
    <row r="180" spans="1:6" ht="14.25">
      <c r="A180" s="345"/>
      <c r="B180" s="345"/>
      <c r="C180" s="345"/>
      <c r="D180" s="345"/>
      <c r="E180" s="345"/>
      <c r="F180" s="345"/>
    </row>
    <row r="181" spans="1:6" ht="14.25">
      <c r="A181" s="345"/>
      <c r="B181" s="345"/>
      <c r="C181" s="345"/>
      <c r="D181" s="345"/>
      <c r="E181" s="345"/>
      <c r="F181" s="345"/>
    </row>
    <row r="182" spans="1:6" ht="14.25">
      <c r="A182" s="345"/>
      <c r="B182" s="345"/>
      <c r="C182" s="345"/>
      <c r="D182" s="345"/>
      <c r="E182" s="345"/>
      <c r="F182" s="345"/>
    </row>
    <row r="183" spans="1:6" ht="14.25">
      <c r="A183" s="345"/>
      <c r="B183" s="345"/>
      <c r="C183" s="345"/>
      <c r="D183" s="345"/>
      <c r="E183" s="345"/>
      <c r="F183" s="345"/>
    </row>
    <row r="184" spans="1:6" ht="14.25">
      <c r="A184" s="345"/>
      <c r="B184" s="345"/>
      <c r="C184" s="345"/>
      <c r="D184" s="345"/>
      <c r="E184" s="345"/>
      <c r="F184" s="345"/>
    </row>
    <row r="185" spans="1:6" ht="14.25">
      <c r="A185" s="345"/>
      <c r="B185" s="345"/>
      <c r="C185" s="345"/>
      <c r="D185" s="345"/>
      <c r="E185" s="345"/>
      <c r="F185" s="345"/>
    </row>
    <row r="186" spans="1:6" ht="14.25">
      <c r="A186" s="345"/>
      <c r="B186" s="345"/>
      <c r="C186" s="345"/>
      <c r="D186" s="345"/>
      <c r="E186" s="345"/>
      <c r="F186" s="345"/>
    </row>
    <row r="187" spans="1:6" ht="14.25">
      <c r="A187" s="345"/>
      <c r="B187" s="345"/>
      <c r="C187" s="345"/>
      <c r="D187" s="345"/>
      <c r="E187" s="345"/>
      <c r="F187" s="345"/>
    </row>
    <row r="188" spans="1:6" ht="14.25">
      <c r="A188" s="345"/>
      <c r="B188" s="345"/>
      <c r="C188" s="345"/>
      <c r="D188" s="345"/>
      <c r="E188" s="345"/>
      <c r="F188" s="345"/>
    </row>
    <row r="189" spans="1:6" ht="14.25">
      <c r="A189" s="345"/>
      <c r="B189" s="345"/>
      <c r="C189" s="345"/>
      <c r="D189" s="345"/>
      <c r="E189" s="345"/>
      <c r="F189" s="345"/>
    </row>
    <row r="190" spans="1:6" ht="14.25">
      <c r="A190" s="345"/>
      <c r="B190" s="345"/>
      <c r="C190" s="345"/>
      <c r="D190" s="345"/>
      <c r="E190" s="345"/>
      <c r="F190" s="345"/>
    </row>
    <row r="191" spans="1:6" ht="14.25">
      <c r="A191" s="345"/>
      <c r="B191" s="345"/>
      <c r="C191" s="345"/>
      <c r="D191" s="345"/>
      <c r="E191" s="345"/>
      <c r="F191" s="345"/>
    </row>
    <row r="192" spans="1:6" ht="14.25">
      <c r="A192" s="345"/>
      <c r="B192" s="345"/>
      <c r="C192" s="345"/>
      <c r="D192" s="345"/>
      <c r="E192" s="345"/>
      <c r="F192" s="345"/>
    </row>
    <row r="193" spans="1:6" ht="14.25">
      <c r="A193" s="345"/>
      <c r="B193" s="345"/>
      <c r="C193" s="345"/>
      <c r="D193" s="345"/>
      <c r="E193" s="345"/>
      <c r="F193" s="345"/>
    </row>
    <row r="194" spans="1:6" ht="14.25">
      <c r="A194" s="345"/>
      <c r="B194" s="345"/>
      <c r="C194" s="345"/>
      <c r="D194" s="345"/>
      <c r="E194" s="345"/>
      <c r="F194" s="345"/>
    </row>
    <row r="195" spans="1:6" ht="14.25">
      <c r="A195" s="345"/>
      <c r="B195" s="345"/>
      <c r="C195" s="345"/>
      <c r="D195" s="345"/>
      <c r="E195" s="345"/>
      <c r="F195" s="345"/>
    </row>
    <row r="196" spans="1:6" ht="14.25">
      <c r="A196" s="345"/>
      <c r="B196" s="345"/>
      <c r="C196" s="345"/>
      <c r="D196" s="345"/>
      <c r="E196" s="345"/>
      <c r="F196" s="345"/>
    </row>
    <row r="197" spans="1:6" ht="14.25">
      <c r="A197" s="345"/>
      <c r="B197" s="345"/>
      <c r="C197" s="345"/>
      <c r="D197" s="345"/>
      <c r="E197" s="345"/>
      <c r="F197" s="345"/>
    </row>
    <row r="198" spans="1:6" ht="14.25">
      <c r="A198" s="345"/>
      <c r="B198" s="345"/>
      <c r="C198" s="345"/>
      <c r="D198" s="345"/>
      <c r="E198" s="345"/>
      <c r="F198" s="345"/>
    </row>
    <row r="199" spans="1:6" ht="14.25">
      <c r="A199" s="345"/>
      <c r="B199" s="345"/>
      <c r="C199" s="345"/>
      <c r="D199" s="345"/>
      <c r="E199" s="345"/>
      <c r="F199" s="345"/>
    </row>
    <row r="200" spans="1:6" ht="14.25">
      <c r="A200" s="345"/>
      <c r="B200" s="345"/>
      <c r="C200" s="345"/>
      <c r="D200" s="345"/>
      <c r="E200" s="345"/>
      <c r="F200" s="345"/>
    </row>
    <row r="201" spans="1:6" ht="14.25">
      <c r="A201" s="345"/>
      <c r="B201" s="345"/>
      <c r="C201" s="345"/>
      <c r="D201" s="345"/>
      <c r="E201" s="345"/>
      <c r="F201" s="345"/>
    </row>
    <row r="202" spans="1:6" ht="14.25">
      <c r="A202" s="345"/>
      <c r="B202" s="345"/>
      <c r="C202" s="345"/>
      <c r="D202" s="345"/>
      <c r="E202" s="345"/>
      <c r="F202" s="345"/>
    </row>
    <row r="203" spans="1:6" ht="14.25">
      <c r="A203" s="345"/>
      <c r="B203" s="345"/>
      <c r="C203" s="345"/>
      <c r="D203" s="345"/>
      <c r="E203" s="345"/>
      <c r="F203" s="345"/>
    </row>
    <row r="204" spans="1:6" ht="14.25">
      <c r="A204" s="345"/>
      <c r="B204" s="345"/>
      <c r="C204" s="345"/>
      <c r="D204" s="345"/>
      <c r="E204" s="345"/>
      <c r="F204" s="345"/>
    </row>
    <row r="205" spans="1:6" ht="14.25">
      <c r="A205" s="345"/>
      <c r="B205" s="345"/>
      <c r="C205" s="345"/>
      <c r="D205" s="345"/>
      <c r="E205" s="345"/>
      <c r="F205" s="345"/>
    </row>
    <row r="206" spans="1:6" ht="14.25">
      <c r="A206" s="345"/>
      <c r="B206" s="345"/>
      <c r="C206" s="345"/>
      <c r="D206" s="345"/>
      <c r="E206" s="345"/>
      <c r="F206" s="345"/>
    </row>
    <row r="207" spans="1:6" ht="14.25">
      <c r="A207" s="345"/>
      <c r="B207" s="345"/>
      <c r="C207" s="345"/>
      <c r="D207" s="345"/>
      <c r="E207" s="345"/>
      <c r="F207" s="345"/>
    </row>
    <row r="208" spans="1:6" ht="14.25">
      <c r="A208" s="345"/>
      <c r="B208" s="345"/>
      <c r="C208" s="345"/>
      <c r="D208" s="345"/>
      <c r="E208" s="345"/>
      <c r="F208" s="345"/>
    </row>
    <row r="209" spans="1:6" ht="14.25">
      <c r="A209" s="345"/>
      <c r="B209" s="345"/>
      <c r="C209" s="345"/>
      <c r="D209" s="345"/>
      <c r="E209" s="345"/>
      <c r="F209" s="345"/>
    </row>
    <row r="210" spans="1:6" ht="14.25">
      <c r="A210" s="345"/>
      <c r="B210" s="345"/>
      <c r="C210" s="345"/>
      <c r="D210" s="345"/>
      <c r="E210" s="345"/>
      <c r="F210" s="345"/>
    </row>
    <row r="211" spans="1:6" ht="14.25">
      <c r="A211" s="345"/>
      <c r="B211" s="345"/>
      <c r="C211" s="345"/>
      <c r="D211" s="345"/>
      <c r="E211" s="345"/>
      <c r="F211" s="345"/>
    </row>
    <row r="212" spans="1:6" ht="14.25">
      <c r="A212" s="345"/>
      <c r="B212" s="345"/>
      <c r="C212" s="345"/>
      <c r="D212" s="345"/>
      <c r="E212" s="345"/>
      <c r="F212" s="345"/>
    </row>
    <row r="213" spans="1:6" ht="14.25">
      <c r="A213" s="345"/>
      <c r="B213" s="345"/>
      <c r="C213" s="345"/>
      <c r="D213" s="345"/>
      <c r="E213" s="345"/>
      <c r="F213" s="345"/>
    </row>
    <row r="214" spans="1:6" ht="14.25">
      <c r="A214" s="345"/>
      <c r="B214" s="345"/>
      <c r="C214" s="345"/>
      <c r="D214" s="345"/>
      <c r="E214" s="345"/>
      <c r="F214" s="345"/>
    </row>
    <row r="215" spans="1:6" ht="14.25">
      <c r="A215" s="345"/>
      <c r="B215" s="345"/>
      <c r="C215" s="345"/>
      <c r="D215" s="345"/>
      <c r="E215" s="345"/>
      <c r="F215" s="345"/>
    </row>
    <row r="216" spans="1:6" ht="14.25">
      <c r="A216" s="345"/>
      <c r="B216" s="345"/>
      <c r="C216" s="345"/>
      <c r="D216" s="345"/>
      <c r="E216" s="345"/>
      <c r="F216" s="345"/>
    </row>
    <row r="217" spans="1:6" ht="14.25">
      <c r="A217" s="345"/>
      <c r="B217" s="345"/>
      <c r="C217" s="345"/>
      <c r="D217" s="345"/>
      <c r="E217" s="345"/>
      <c r="F217" s="345"/>
    </row>
    <row r="218" spans="1:6" ht="14.25">
      <c r="A218" s="345"/>
      <c r="B218" s="345"/>
      <c r="C218" s="345"/>
      <c r="D218" s="345"/>
      <c r="E218" s="345"/>
      <c r="F218" s="345"/>
    </row>
    <row r="219" spans="1:6" ht="14.25">
      <c r="A219" s="345"/>
      <c r="B219" s="345"/>
      <c r="C219" s="345"/>
      <c r="D219" s="345"/>
      <c r="E219" s="345"/>
      <c r="F219" s="345"/>
    </row>
    <row r="220" spans="1:6" ht="14.25">
      <c r="A220" s="345"/>
      <c r="B220" s="345"/>
      <c r="C220" s="345"/>
      <c r="D220" s="345"/>
      <c r="E220" s="345"/>
      <c r="F220" s="345"/>
    </row>
    <row r="221" spans="1:6" ht="14.25">
      <c r="A221" s="345"/>
      <c r="B221" s="345"/>
      <c r="C221" s="345"/>
      <c r="D221" s="345"/>
      <c r="E221" s="345"/>
      <c r="F221" s="345"/>
    </row>
    <row r="222" spans="1:6" ht="14.25">
      <c r="A222" s="345"/>
      <c r="B222" s="345"/>
      <c r="C222" s="345"/>
      <c r="D222" s="345"/>
      <c r="E222" s="345"/>
      <c r="F222" s="345"/>
    </row>
    <row r="223" spans="1:6" ht="14.25">
      <c r="A223" s="345"/>
      <c r="B223" s="345"/>
      <c r="C223" s="345"/>
      <c r="D223" s="345"/>
      <c r="E223" s="345"/>
      <c r="F223" s="345"/>
    </row>
    <row r="224" spans="1:6" ht="14.25">
      <c r="A224" s="345"/>
      <c r="B224" s="345"/>
      <c r="C224" s="345"/>
      <c r="D224" s="345"/>
      <c r="E224" s="345"/>
      <c r="F224" s="345"/>
    </row>
    <row r="225" spans="1:6" ht="14.25">
      <c r="A225" s="345"/>
      <c r="B225" s="345"/>
      <c r="C225" s="345"/>
      <c r="D225" s="345"/>
      <c r="E225" s="345"/>
      <c r="F225" s="345"/>
    </row>
    <row r="226" spans="1:6" ht="14.25">
      <c r="A226" s="345"/>
      <c r="B226" s="345"/>
      <c r="C226" s="345"/>
      <c r="D226" s="345"/>
      <c r="E226" s="345"/>
      <c r="F226" s="345"/>
    </row>
    <row r="227" spans="1:6" ht="14.25">
      <c r="A227" s="345"/>
      <c r="B227" s="345"/>
      <c r="C227" s="345"/>
      <c r="D227" s="345"/>
      <c r="E227" s="345"/>
      <c r="F227" s="345"/>
    </row>
    <row r="228" spans="1:6" ht="14.25">
      <c r="A228" s="345"/>
      <c r="B228" s="345"/>
      <c r="C228" s="345"/>
      <c r="D228" s="345"/>
      <c r="E228" s="345"/>
      <c r="F228" s="345"/>
    </row>
    <row r="229" spans="1:6" ht="14.25">
      <c r="A229" s="345"/>
      <c r="B229" s="345"/>
      <c r="C229" s="345"/>
      <c r="D229" s="345"/>
      <c r="E229" s="345"/>
      <c r="F229" s="345"/>
    </row>
    <row r="230" spans="1:6" ht="14.25">
      <c r="A230" s="345"/>
      <c r="B230" s="345"/>
      <c r="C230" s="345"/>
      <c r="D230" s="345"/>
      <c r="E230" s="345"/>
      <c r="F230" s="345"/>
    </row>
    <row r="231" spans="1:6" ht="14.25">
      <c r="A231" s="345"/>
      <c r="B231" s="345"/>
      <c r="C231" s="345"/>
      <c r="D231" s="345"/>
      <c r="E231" s="345"/>
      <c r="F231" s="345"/>
    </row>
    <row r="232" spans="1:6" ht="14.25">
      <c r="A232" s="345"/>
      <c r="B232" s="345"/>
      <c r="C232" s="345"/>
      <c r="D232" s="345"/>
      <c r="E232" s="345"/>
      <c r="F232" s="345"/>
    </row>
    <row r="233" spans="1:6" ht="14.25">
      <c r="A233" s="345"/>
      <c r="B233" s="345"/>
      <c r="C233" s="345"/>
      <c r="D233" s="345"/>
      <c r="E233" s="345"/>
      <c r="F233" s="345"/>
    </row>
    <row r="234" spans="1:6" ht="14.25">
      <c r="A234" s="345"/>
      <c r="B234" s="345"/>
      <c r="C234" s="345"/>
      <c r="D234" s="345"/>
      <c r="E234" s="345"/>
      <c r="F234" s="345"/>
    </row>
    <row r="235" spans="1:6" ht="14.25">
      <c r="A235" s="345"/>
      <c r="B235" s="345"/>
      <c r="C235" s="345"/>
      <c r="D235" s="345"/>
      <c r="E235" s="345"/>
      <c r="F235" s="345"/>
    </row>
    <row r="236" spans="1:6" ht="14.25">
      <c r="A236" s="345"/>
      <c r="B236" s="345"/>
      <c r="C236" s="345"/>
      <c r="D236" s="345"/>
      <c r="E236" s="345"/>
      <c r="F236" s="345"/>
    </row>
    <row r="237" spans="1:6" ht="14.25">
      <c r="A237" s="345"/>
      <c r="B237" s="345"/>
      <c r="C237" s="345"/>
      <c r="D237" s="345"/>
      <c r="E237" s="345"/>
      <c r="F237" s="345"/>
    </row>
    <row r="238" spans="1:6" ht="14.25">
      <c r="A238" s="345"/>
      <c r="B238" s="345"/>
      <c r="C238" s="345"/>
      <c r="D238" s="345"/>
      <c r="E238" s="345"/>
      <c r="F238" s="345"/>
    </row>
    <row r="239" spans="1:6" ht="14.25">
      <c r="A239" s="345"/>
      <c r="B239" s="345"/>
      <c r="C239" s="345"/>
      <c r="D239" s="345"/>
      <c r="E239" s="345"/>
      <c r="F239" s="345"/>
    </row>
    <row r="240" spans="1:6" ht="14.25">
      <c r="A240" s="345"/>
      <c r="B240" s="345"/>
      <c r="C240" s="345"/>
      <c r="D240" s="345"/>
      <c r="E240" s="345"/>
      <c r="F240" s="345"/>
    </row>
    <row r="241" spans="1:6" ht="14.25">
      <c r="A241" s="345"/>
      <c r="B241" s="345"/>
      <c r="C241" s="345"/>
      <c r="D241" s="345"/>
      <c r="E241" s="345"/>
      <c r="F241" s="345"/>
    </row>
    <row r="242" spans="1:6" ht="14.25">
      <c r="A242" s="345"/>
      <c r="B242" s="345"/>
      <c r="C242" s="345"/>
      <c r="D242" s="345"/>
      <c r="E242" s="345"/>
      <c r="F242" s="345"/>
    </row>
    <row r="243" spans="1:6" ht="14.25">
      <c r="A243" s="345"/>
      <c r="B243" s="345"/>
      <c r="C243" s="345"/>
      <c r="D243" s="345"/>
      <c r="E243" s="345"/>
      <c r="F243" s="345"/>
    </row>
    <row r="244" spans="1:6" ht="14.25">
      <c r="A244" s="345"/>
      <c r="B244" s="345"/>
      <c r="C244" s="345"/>
      <c r="D244" s="345"/>
      <c r="E244" s="345"/>
      <c r="F244" s="345"/>
    </row>
    <row r="245" spans="1:6" ht="14.25">
      <c r="A245" s="345"/>
      <c r="B245" s="345"/>
      <c r="C245" s="345"/>
      <c r="D245" s="345"/>
      <c r="E245" s="345"/>
      <c r="F245" s="345"/>
    </row>
    <row r="246" spans="1:6" ht="14.25">
      <c r="A246" s="345"/>
      <c r="B246" s="345"/>
      <c r="C246" s="345"/>
      <c r="D246" s="345"/>
      <c r="E246" s="345"/>
      <c r="F246" s="345"/>
    </row>
    <row r="247" spans="1:6" ht="14.25">
      <c r="A247" s="345"/>
      <c r="B247" s="345"/>
      <c r="C247" s="345"/>
      <c r="D247" s="345"/>
      <c r="E247" s="345"/>
      <c r="F247" s="345"/>
    </row>
    <row r="248" spans="1:6" ht="14.25">
      <c r="A248" s="345"/>
      <c r="B248" s="345"/>
      <c r="C248" s="345"/>
      <c r="D248" s="345"/>
      <c r="E248" s="345"/>
      <c r="F248" s="345"/>
    </row>
    <row r="249" spans="1:6" ht="14.25">
      <c r="A249" s="345"/>
      <c r="B249" s="345"/>
      <c r="C249" s="345"/>
      <c r="D249" s="345"/>
      <c r="E249" s="345"/>
      <c r="F249" s="345"/>
    </row>
    <row r="250" spans="1:6" ht="14.25">
      <c r="A250" s="345"/>
      <c r="B250" s="345"/>
      <c r="C250" s="345"/>
      <c r="D250" s="345"/>
      <c r="E250" s="345"/>
      <c r="F250" s="345"/>
    </row>
    <row r="251" spans="1:6" ht="14.25">
      <c r="A251" s="345"/>
      <c r="B251" s="345"/>
      <c r="C251" s="345"/>
      <c r="D251" s="345"/>
      <c r="E251" s="345"/>
      <c r="F251" s="345"/>
    </row>
    <row r="252" spans="1:6" ht="14.25">
      <c r="A252" s="345"/>
      <c r="B252" s="345"/>
      <c r="C252" s="345"/>
      <c r="D252" s="345"/>
      <c r="E252" s="345"/>
      <c r="F252" s="345"/>
    </row>
    <row r="253" spans="1:6" ht="14.25">
      <c r="A253" s="345"/>
      <c r="B253" s="345"/>
      <c r="C253" s="345"/>
      <c r="D253" s="345"/>
      <c r="E253" s="345"/>
      <c r="F253" s="345"/>
    </row>
    <row r="254" spans="1:6" ht="14.25">
      <c r="A254" s="345"/>
      <c r="B254" s="345"/>
      <c r="C254" s="345"/>
      <c r="D254" s="345"/>
      <c r="E254" s="345"/>
      <c r="F254" s="345"/>
    </row>
    <row r="255" spans="1:6" ht="14.25">
      <c r="A255" s="345"/>
      <c r="B255" s="345"/>
      <c r="C255" s="345"/>
      <c r="D255" s="345"/>
      <c r="E255" s="345"/>
      <c r="F255" s="345"/>
    </row>
    <row r="256" spans="1:6" ht="14.25">
      <c r="A256" s="345"/>
      <c r="B256" s="345"/>
      <c r="C256" s="345"/>
      <c r="D256" s="345"/>
      <c r="E256" s="345"/>
      <c r="F256" s="345"/>
    </row>
    <row r="257" spans="1:6" ht="14.25">
      <c r="A257" s="345"/>
      <c r="B257" s="345"/>
      <c r="C257" s="345"/>
      <c r="D257" s="345"/>
      <c r="E257" s="345"/>
      <c r="F257" s="345"/>
    </row>
    <row r="258" spans="1:6" ht="14.25">
      <c r="A258" s="345"/>
      <c r="B258" s="345"/>
      <c r="C258" s="345"/>
      <c r="D258" s="345"/>
      <c r="E258" s="345"/>
      <c r="F258" s="345"/>
    </row>
    <row r="259" spans="1:6" ht="14.25">
      <c r="A259" s="345"/>
      <c r="B259" s="345"/>
      <c r="C259" s="345"/>
      <c r="D259" s="345"/>
      <c r="E259" s="345"/>
      <c r="F259" s="345"/>
    </row>
    <row r="260" spans="1:6" ht="14.25">
      <c r="A260" s="345"/>
      <c r="B260" s="345"/>
      <c r="C260" s="345"/>
      <c r="D260" s="345"/>
      <c r="E260" s="345"/>
      <c r="F260" s="345"/>
    </row>
    <row r="261" spans="1:6" ht="14.25">
      <c r="A261" s="345"/>
      <c r="B261" s="345"/>
      <c r="C261" s="345"/>
      <c r="D261" s="345"/>
      <c r="E261" s="345"/>
      <c r="F261" s="345"/>
    </row>
    <row r="262" spans="1:6" ht="14.25">
      <c r="A262" s="345"/>
      <c r="B262" s="345"/>
      <c r="C262" s="345"/>
      <c r="D262" s="345"/>
      <c r="E262" s="345"/>
      <c r="F262" s="345"/>
    </row>
    <row r="263" spans="1:6" ht="14.25">
      <c r="A263" s="345"/>
      <c r="B263" s="345"/>
      <c r="C263" s="345"/>
      <c r="D263" s="345"/>
      <c r="E263" s="345"/>
      <c r="F263" s="345"/>
    </row>
    <row r="264" spans="1:6" ht="14.25">
      <c r="A264" s="345"/>
      <c r="B264" s="345"/>
      <c r="C264" s="345"/>
      <c r="D264" s="345"/>
      <c r="E264" s="345"/>
      <c r="F264" s="345"/>
    </row>
    <row r="265" spans="1:6" ht="14.25">
      <c r="A265" s="345"/>
      <c r="B265" s="345"/>
      <c r="C265" s="345"/>
      <c r="D265" s="345"/>
      <c r="E265" s="345"/>
      <c r="F265" s="345"/>
    </row>
    <row r="266" spans="1:6" ht="14.25">
      <c r="A266" s="345"/>
      <c r="B266" s="345"/>
      <c r="C266" s="345"/>
      <c r="D266" s="345"/>
      <c r="E266" s="345"/>
      <c r="F266" s="345"/>
    </row>
    <row r="267" spans="1:6" ht="14.25">
      <c r="A267" s="345"/>
      <c r="B267" s="345"/>
      <c r="C267" s="345"/>
      <c r="D267" s="345"/>
      <c r="E267" s="345"/>
      <c r="F267" s="345"/>
    </row>
    <row r="268" spans="1:6" ht="14.25">
      <c r="A268" s="345"/>
      <c r="B268" s="345"/>
      <c r="C268" s="345"/>
      <c r="D268" s="345"/>
      <c r="E268" s="345"/>
      <c r="F268" s="345"/>
    </row>
    <row r="269" spans="1:6" ht="14.25">
      <c r="A269" s="345"/>
      <c r="B269" s="345"/>
      <c r="C269" s="345"/>
      <c r="D269" s="345"/>
      <c r="E269" s="345"/>
      <c r="F269" s="345"/>
    </row>
    <row r="270" spans="1:6" ht="14.25">
      <c r="A270" s="345"/>
      <c r="B270" s="345"/>
      <c r="C270" s="345"/>
      <c r="D270" s="345"/>
      <c r="E270" s="345"/>
      <c r="F270" s="345"/>
    </row>
    <row r="271" spans="1:6" ht="14.25">
      <c r="A271" s="345"/>
      <c r="B271" s="345"/>
      <c r="C271" s="345"/>
      <c r="D271" s="345"/>
      <c r="E271" s="345"/>
      <c r="F271" s="345"/>
    </row>
    <row r="272" spans="1:6" ht="14.25">
      <c r="A272" s="345"/>
      <c r="B272" s="345"/>
      <c r="C272" s="345"/>
      <c r="D272" s="345"/>
      <c r="E272" s="345"/>
      <c r="F272" s="345"/>
    </row>
    <row r="273" spans="1:6" ht="14.25">
      <c r="A273" s="345"/>
      <c r="B273" s="345"/>
      <c r="C273" s="345"/>
      <c r="D273" s="345"/>
      <c r="E273" s="345"/>
      <c r="F273" s="345"/>
    </row>
    <row r="274" spans="1:6" ht="14.25">
      <c r="A274" s="345"/>
      <c r="B274" s="345"/>
      <c r="C274" s="345"/>
      <c r="D274" s="345"/>
      <c r="E274" s="345"/>
      <c r="F274" s="345"/>
    </row>
    <row r="275" spans="1:6" ht="14.25">
      <c r="A275" s="345"/>
      <c r="B275" s="345"/>
      <c r="C275" s="345"/>
      <c r="D275" s="345"/>
      <c r="E275" s="345"/>
      <c r="F275" s="345"/>
    </row>
    <row r="276" spans="1:6" ht="14.25">
      <c r="A276" s="345"/>
      <c r="B276" s="345"/>
      <c r="C276" s="345"/>
      <c r="D276" s="345"/>
      <c r="E276" s="345"/>
      <c r="F276" s="345"/>
    </row>
    <row r="277" spans="1:6" ht="14.25">
      <c r="A277" s="345"/>
      <c r="B277" s="345"/>
      <c r="C277" s="345"/>
      <c r="D277" s="345"/>
      <c r="E277" s="345"/>
      <c r="F277" s="345"/>
    </row>
    <row r="278" spans="1:6" ht="14.25">
      <c r="A278" s="345"/>
      <c r="B278" s="345"/>
      <c r="C278" s="345"/>
      <c r="D278" s="345"/>
      <c r="E278" s="345"/>
      <c r="F278" s="345"/>
    </row>
    <row r="279" spans="1:6" ht="14.25">
      <c r="A279" s="345"/>
      <c r="B279" s="345"/>
      <c r="C279" s="345"/>
      <c r="D279" s="345"/>
      <c r="E279" s="345"/>
      <c r="F279" s="345"/>
    </row>
    <row r="280" spans="1:6" ht="14.25">
      <c r="A280" s="345"/>
      <c r="B280" s="345"/>
      <c r="C280" s="345"/>
      <c r="D280" s="345"/>
      <c r="E280" s="345"/>
      <c r="F280" s="345"/>
    </row>
    <row r="281" spans="1:6" ht="14.25">
      <c r="A281" s="345"/>
      <c r="B281" s="345"/>
      <c r="C281" s="345"/>
      <c r="D281" s="345"/>
      <c r="E281" s="345"/>
      <c r="F281" s="345"/>
    </row>
    <row r="282" spans="1:6" ht="14.25">
      <c r="A282" s="345"/>
      <c r="B282" s="345"/>
      <c r="C282" s="345"/>
      <c r="D282" s="345"/>
      <c r="E282" s="345"/>
      <c r="F282" s="345"/>
    </row>
    <row r="283" spans="1:6" ht="14.25">
      <c r="A283" s="345"/>
      <c r="B283" s="345"/>
      <c r="C283" s="345"/>
      <c r="D283" s="345"/>
      <c r="E283" s="345"/>
      <c r="F283" s="345"/>
    </row>
    <row r="284" spans="1:6" ht="14.25">
      <c r="A284" s="345"/>
      <c r="B284" s="345"/>
      <c r="C284" s="345"/>
      <c r="D284" s="345"/>
      <c r="E284" s="345"/>
      <c r="F284" s="345"/>
    </row>
    <row r="285" spans="1:6" ht="14.25">
      <c r="A285" s="345"/>
      <c r="B285" s="345"/>
      <c r="C285" s="345"/>
      <c r="D285" s="345"/>
      <c r="E285" s="345"/>
      <c r="F285" s="345"/>
    </row>
    <row r="286" spans="1:6" ht="14.25">
      <c r="A286" s="345"/>
      <c r="B286" s="345"/>
      <c r="C286" s="345"/>
      <c r="D286" s="345"/>
      <c r="E286" s="345"/>
      <c r="F286" s="345"/>
    </row>
    <row r="287" spans="1:6" ht="14.25">
      <c r="A287" s="345"/>
      <c r="B287" s="345"/>
      <c r="C287" s="345"/>
      <c r="D287" s="345"/>
      <c r="E287" s="345"/>
      <c r="F287" s="345"/>
    </row>
    <row r="288" spans="1:6" ht="14.25">
      <c r="A288" s="345"/>
      <c r="B288" s="345"/>
      <c r="C288" s="345"/>
      <c r="D288" s="345"/>
      <c r="E288" s="345"/>
      <c r="F288" s="345"/>
    </row>
    <row r="289" spans="1:6" ht="14.25">
      <c r="A289" s="345"/>
      <c r="B289" s="345"/>
      <c r="C289" s="345"/>
      <c r="D289" s="345"/>
      <c r="E289" s="345"/>
      <c r="F289" s="345"/>
    </row>
    <row r="290" spans="1:6" ht="14.25">
      <c r="A290" s="345"/>
      <c r="B290" s="345"/>
      <c r="C290" s="345"/>
      <c r="D290" s="345"/>
      <c r="E290" s="345"/>
      <c r="F290" s="345"/>
    </row>
    <row r="291" spans="1:6" ht="14.25">
      <c r="A291" s="345"/>
      <c r="B291" s="345"/>
      <c r="C291" s="345"/>
      <c r="D291" s="345"/>
      <c r="E291" s="345"/>
      <c r="F291" s="345"/>
    </row>
    <row r="292" spans="1:6" ht="14.25">
      <c r="A292" s="345"/>
      <c r="B292" s="345"/>
      <c r="C292" s="345"/>
      <c r="D292" s="345"/>
      <c r="E292" s="345"/>
      <c r="F292" s="345"/>
    </row>
    <row r="293" spans="1:6" ht="14.25">
      <c r="A293" s="345"/>
      <c r="B293" s="345"/>
      <c r="C293" s="345"/>
      <c r="D293" s="345"/>
      <c r="E293" s="345"/>
      <c r="F293" s="345"/>
    </row>
    <row r="294" spans="1:6" ht="14.25">
      <c r="A294" s="345"/>
      <c r="B294" s="345"/>
      <c r="C294" s="345"/>
      <c r="D294" s="345"/>
      <c r="E294" s="345"/>
      <c r="F294" s="345"/>
    </row>
    <row r="295" spans="1:6" ht="14.25">
      <c r="A295" s="345"/>
      <c r="B295" s="345"/>
      <c r="C295" s="345"/>
      <c r="D295" s="345"/>
      <c r="E295" s="345"/>
      <c r="F295" s="345"/>
    </row>
    <row r="296" spans="1:6" ht="14.25">
      <c r="A296" s="345"/>
      <c r="B296" s="345"/>
      <c r="C296" s="345"/>
      <c r="D296" s="345"/>
      <c r="E296" s="345"/>
      <c r="F296" s="345"/>
    </row>
    <row r="297" spans="1:6" ht="14.25">
      <c r="A297" s="345"/>
      <c r="B297" s="345"/>
      <c r="C297" s="345"/>
      <c r="D297" s="345"/>
      <c r="E297" s="345"/>
      <c r="F297" s="345"/>
    </row>
    <row r="298" spans="1:6" ht="14.25">
      <c r="A298" s="345"/>
      <c r="B298" s="345"/>
      <c r="C298" s="345"/>
      <c r="D298" s="345"/>
      <c r="E298" s="345"/>
      <c r="F298" s="345"/>
    </row>
    <row r="299" spans="1:6" ht="14.25">
      <c r="A299" s="345"/>
      <c r="B299" s="345"/>
      <c r="C299" s="345"/>
      <c r="D299" s="345"/>
      <c r="E299" s="345"/>
      <c r="F299" s="345"/>
    </row>
  </sheetData>
  <sheetProtection/>
  <mergeCells count="3">
    <mergeCell ref="A113:B113"/>
    <mergeCell ref="A117:B117"/>
    <mergeCell ref="A118:B1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3"/>
  <rowBreaks count="6" manualBreakCount="6">
    <brk id="22" max="255" man="1"/>
    <brk id="39" max="255" man="1"/>
    <brk id="58" max="255" man="1"/>
    <brk id="77" max="255" man="1"/>
    <brk id="98" max="5" man="1"/>
    <brk id="11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U238"/>
  <sheetViews>
    <sheetView showGridLines="0" view="pageBreakPreview" zoomScaleSheetLayoutView="100" zoomScalePageLayoutView="0" workbookViewId="0" topLeftCell="A40">
      <selection activeCell="C69" sqref="C69"/>
    </sheetView>
  </sheetViews>
  <sheetFormatPr defaultColWidth="9.00390625" defaultRowHeight="14.25"/>
  <cols>
    <col min="1" max="1" width="25.875" style="119" customWidth="1"/>
    <col min="2" max="2" width="26.125" style="119" customWidth="1"/>
    <col min="3" max="3" width="22.375" style="119" customWidth="1"/>
    <col min="4" max="8" width="22.50390625" style="119" customWidth="1"/>
    <col min="9" max="9" width="12.375" style="119" customWidth="1"/>
    <col min="10" max="12" width="9.00390625" style="119" customWidth="1"/>
    <col min="13" max="13" width="16.00390625" style="119" customWidth="1"/>
    <col min="14" max="14" width="13.25390625" style="119" customWidth="1"/>
    <col min="15" max="16384" width="9.00390625" style="119" customWidth="1"/>
  </cols>
  <sheetData>
    <row r="1" spans="1:8" ht="28.5" customHeight="1">
      <c r="A1" s="346" t="s">
        <v>356</v>
      </c>
      <c r="B1" s="346"/>
      <c r="C1" s="346"/>
      <c r="D1" s="346"/>
      <c r="E1" s="346"/>
      <c r="F1" s="347"/>
      <c r="G1" s="347"/>
      <c r="H1" s="347"/>
    </row>
    <row r="2" spans="1:8" ht="19.5" customHeight="1">
      <c r="A2" s="348" t="s">
        <v>1537</v>
      </c>
      <c r="B2" s="246"/>
      <c r="C2" s="246"/>
      <c r="D2" s="246"/>
      <c r="E2" s="246"/>
      <c r="F2" s="347"/>
      <c r="G2" s="347"/>
      <c r="H2" s="349"/>
    </row>
    <row r="3" spans="1:8" ht="19.5" customHeight="1">
      <c r="A3" s="350" t="s">
        <v>755</v>
      </c>
      <c r="B3" s="351"/>
      <c r="C3" s="351"/>
      <c r="D3" s="351"/>
      <c r="E3" s="351"/>
      <c r="F3" s="347"/>
      <c r="G3" s="347"/>
      <c r="H3" s="349"/>
    </row>
    <row r="4" spans="1:8" ht="19.5" customHeight="1">
      <c r="A4" s="352" t="s">
        <v>624</v>
      </c>
      <c r="B4" s="352"/>
      <c r="C4" s="352"/>
      <c r="D4" s="353"/>
      <c r="E4" s="352"/>
      <c r="F4" s="347"/>
      <c r="G4" s="347"/>
      <c r="H4" s="347"/>
    </row>
    <row r="5" spans="1:8" s="132" customFormat="1" ht="19.5" customHeight="1">
      <c r="A5" s="354" t="s">
        <v>508</v>
      </c>
      <c r="B5" s="355" t="s">
        <v>509</v>
      </c>
      <c r="C5" s="546" t="s">
        <v>408</v>
      </c>
      <c r="D5" s="546" t="s">
        <v>406</v>
      </c>
      <c r="E5" s="548" t="s">
        <v>407</v>
      </c>
      <c r="F5" s="356"/>
      <c r="G5" s="356"/>
      <c r="H5" s="356"/>
    </row>
    <row r="6" spans="1:8" s="132" customFormat="1" ht="19.5" customHeight="1">
      <c r="A6" s="357" t="s">
        <v>274</v>
      </c>
      <c r="B6" s="358" t="s">
        <v>275</v>
      </c>
      <c r="C6" s="547"/>
      <c r="D6" s="547"/>
      <c r="E6" s="549"/>
      <c r="F6" s="356"/>
      <c r="G6" s="356"/>
      <c r="H6" s="356"/>
    </row>
    <row r="7" spans="1:8" s="132" customFormat="1" ht="19.5" customHeight="1">
      <c r="A7" s="405" t="s">
        <v>357</v>
      </c>
      <c r="B7" s="406"/>
      <c r="C7" s="407">
        <f>SUM(C8+C10+C12)</f>
        <v>203917140390</v>
      </c>
      <c r="D7" s="407">
        <f>SUM(D8+D10+D12)</f>
        <v>201129908833</v>
      </c>
      <c r="E7" s="408">
        <f aca="true" t="shared" si="0" ref="E7:E18">C7-D7</f>
        <v>2787231557</v>
      </c>
      <c r="F7" s="356"/>
      <c r="G7" s="356"/>
      <c r="H7" s="356"/>
    </row>
    <row r="8" spans="1:8" s="132" customFormat="1" ht="19.5" customHeight="1">
      <c r="A8" s="360" t="s">
        <v>358</v>
      </c>
      <c r="B8" s="133"/>
      <c r="C8" s="67">
        <f>SUM(C9:C9)</f>
        <v>128900140390</v>
      </c>
      <c r="D8" s="67">
        <f>SUM(D9:D9)</f>
        <v>126722562939</v>
      </c>
      <c r="E8" s="134">
        <f t="shared" si="0"/>
        <v>2177577451</v>
      </c>
      <c r="F8" s="356"/>
      <c r="G8" s="356"/>
      <c r="H8" s="356"/>
    </row>
    <row r="9" spans="1:14" s="132" customFormat="1" ht="19.5" customHeight="1">
      <c r="A9" s="361"/>
      <c r="B9" s="362" t="s">
        <v>359</v>
      </c>
      <c r="C9" s="68">
        <v>128900140390</v>
      </c>
      <c r="D9" s="68">
        <f>+'시산표(현금유출입)'!F85</f>
        <v>126722562939</v>
      </c>
      <c r="E9" s="363">
        <f t="shared" si="0"/>
        <v>2177577451</v>
      </c>
      <c r="F9" s="356"/>
      <c r="G9" s="356"/>
      <c r="H9" s="356"/>
      <c r="I9" s="364"/>
      <c r="M9" s="365"/>
      <c r="N9" s="366"/>
    </row>
    <row r="10" spans="1:8" s="132" customFormat="1" ht="19.5" customHeight="1">
      <c r="A10" s="360" t="s">
        <v>360</v>
      </c>
      <c r="B10" s="133"/>
      <c r="C10" s="67">
        <f>SUM(C11:C11)</f>
        <v>64860000000</v>
      </c>
      <c r="D10" s="67">
        <f>SUM(D11:D11)</f>
        <v>63941615338</v>
      </c>
      <c r="E10" s="134">
        <f t="shared" si="0"/>
        <v>918384662</v>
      </c>
      <c r="F10" s="356"/>
      <c r="G10" s="356"/>
      <c r="H10" s="356"/>
    </row>
    <row r="11" spans="1:8" s="132" customFormat="1" ht="19.5" customHeight="1">
      <c r="A11" s="361"/>
      <c r="B11" s="362" t="s">
        <v>625</v>
      </c>
      <c r="C11" s="68">
        <v>64860000000</v>
      </c>
      <c r="D11" s="68">
        <f>+'시산표(현금유출입)'!F86</f>
        <v>63941615338</v>
      </c>
      <c r="E11" s="363">
        <f t="shared" si="0"/>
        <v>918384662</v>
      </c>
      <c r="F11" s="356"/>
      <c r="G11" s="356"/>
      <c r="H11" s="356"/>
    </row>
    <row r="12" spans="1:8" s="132" customFormat="1" ht="19.5" customHeight="1">
      <c r="A12" s="360" t="s">
        <v>361</v>
      </c>
      <c r="B12" s="133"/>
      <c r="C12" s="67">
        <f>SUM(C13)</f>
        <v>10157000000</v>
      </c>
      <c r="D12" s="67">
        <f>SUM(D13)</f>
        <v>10465730556</v>
      </c>
      <c r="E12" s="134">
        <f t="shared" si="0"/>
        <v>-308730556</v>
      </c>
      <c r="F12" s="356"/>
      <c r="G12" s="356"/>
      <c r="H12" s="356"/>
    </row>
    <row r="13" spans="1:8" s="132" customFormat="1" ht="19.5" customHeight="1">
      <c r="A13" s="360"/>
      <c r="B13" s="133" t="s">
        <v>626</v>
      </c>
      <c r="C13" s="67">
        <v>10157000000</v>
      </c>
      <c r="D13" s="67">
        <f>+'시산표(현금유출입)'!F87</f>
        <v>10465730556</v>
      </c>
      <c r="E13" s="134">
        <f t="shared" si="0"/>
        <v>-308730556</v>
      </c>
      <c r="F13" s="356"/>
      <c r="G13" s="356"/>
      <c r="H13" s="356"/>
    </row>
    <row r="14" spans="1:8" s="132" customFormat="1" ht="19.5" customHeight="1">
      <c r="A14" s="409" t="s">
        <v>627</v>
      </c>
      <c r="B14" s="410"/>
      <c r="C14" s="411">
        <f>SUM(C15+C17)</f>
        <v>2045000000</v>
      </c>
      <c r="D14" s="411">
        <f>SUM(D15+D17)</f>
        <v>2067841622</v>
      </c>
      <c r="E14" s="412">
        <f t="shared" si="0"/>
        <v>-22841622</v>
      </c>
      <c r="F14" s="356"/>
      <c r="G14" s="356"/>
      <c r="H14" s="356"/>
    </row>
    <row r="15" spans="1:8" s="132" customFormat="1" ht="19.5" customHeight="1">
      <c r="A15" s="360" t="s">
        <v>628</v>
      </c>
      <c r="B15" s="133"/>
      <c r="C15" s="67">
        <f>SUM(C16)</f>
        <v>0</v>
      </c>
      <c r="D15" s="67">
        <f>SUM(D16)</f>
        <v>0</v>
      </c>
      <c r="E15" s="134">
        <f t="shared" si="0"/>
        <v>0</v>
      </c>
      <c r="F15" s="356"/>
      <c r="G15" s="356"/>
      <c r="H15" s="356"/>
    </row>
    <row r="16" spans="1:8" s="132" customFormat="1" ht="19.5" customHeight="1">
      <c r="A16" s="360"/>
      <c r="B16" s="133" t="s">
        <v>629</v>
      </c>
      <c r="C16" s="67">
        <v>0</v>
      </c>
      <c r="D16" s="67">
        <v>0</v>
      </c>
      <c r="E16" s="134">
        <f t="shared" si="0"/>
        <v>0</v>
      </c>
      <c r="F16" s="356"/>
      <c r="G16" s="356"/>
      <c r="H16" s="356"/>
    </row>
    <row r="17" spans="1:8" s="132" customFormat="1" ht="19.5" customHeight="1">
      <c r="A17" s="360" t="s">
        <v>362</v>
      </c>
      <c r="B17" s="133"/>
      <c r="C17" s="67">
        <f>SUM(C18:C19)</f>
        <v>2045000000</v>
      </c>
      <c r="D17" s="67">
        <f>SUM(D18:D19)</f>
        <v>2067841622</v>
      </c>
      <c r="E17" s="134">
        <f t="shared" si="0"/>
        <v>-22841622</v>
      </c>
      <c r="F17" s="356"/>
      <c r="G17" s="356"/>
      <c r="H17" s="356"/>
    </row>
    <row r="18" spans="1:8" s="132" customFormat="1" ht="19.5" customHeight="1">
      <c r="A18" s="361"/>
      <c r="B18" s="133" t="s">
        <v>363</v>
      </c>
      <c r="C18" s="67">
        <v>2045000000</v>
      </c>
      <c r="D18" s="67">
        <f>+'시산표(현금유출입)'!F156</f>
        <v>2067841622</v>
      </c>
      <c r="E18" s="134">
        <f t="shared" si="0"/>
        <v>-22841622</v>
      </c>
      <c r="F18" s="356"/>
      <c r="G18" s="356"/>
      <c r="H18" s="356"/>
    </row>
    <row r="19" spans="1:8" s="132" customFormat="1" ht="19.5" customHeight="1">
      <c r="A19" s="135"/>
      <c r="B19" s="133" t="s">
        <v>364</v>
      </c>
      <c r="C19" s="67">
        <v>0</v>
      </c>
      <c r="D19" s="67">
        <v>0</v>
      </c>
      <c r="E19" s="134">
        <v>0</v>
      </c>
      <c r="F19" s="356"/>
      <c r="G19" s="356"/>
      <c r="H19" s="356"/>
    </row>
    <row r="20" spans="1:8" s="132" customFormat="1" ht="19.5" customHeight="1">
      <c r="A20" s="413" t="s">
        <v>365</v>
      </c>
      <c r="B20" s="414"/>
      <c r="C20" s="415">
        <f>SUM(C21+C23+C25+C31)</f>
        <v>7400000000</v>
      </c>
      <c r="D20" s="415">
        <f>SUM(D21+D23+D25+D31)</f>
        <v>7061169863</v>
      </c>
      <c r="E20" s="416">
        <f>C20-D20</f>
        <v>338830137</v>
      </c>
      <c r="F20" s="356"/>
      <c r="G20" s="356"/>
      <c r="H20" s="356"/>
    </row>
    <row r="21" spans="1:8" s="132" customFormat="1" ht="19.5" customHeight="1">
      <c r="A21" s="371" t="s">
        <v>366</v>
      </c>
      <c r="B21" s="372"/>
      <c r="C21" s="106">
        <f>SUM(C22)</f>
        <v>2800000000</v>
      </c>
      <c r="D21" s="106">
        <f>SUM(D22)</f>
        <v>3028808092</v>
      </c>
      <c r="E21" s="373">
        <v>0</v>
      </c>
      <c r="F21" s="356"/>
      <c r="G21" s="356"/>
      <c r="H21" s="356"/>
    </row>
    <row r="22" spans="1:8" s="132" customFormat="1" ht="19.5" customHeight="1">
      <c r="A22" s="393" t="s">
        <v>366</v>
      </c>
      <c r="B22" s="129" t="s">
        <v>367</v>
      </c>
      <c r="C22" s="130">
        <v>2800000000</v>
      </c>
      <c r="D22" s="130">
        <f>+'시산표(현금유출입)'!F148</f>
        <v>3028808092</v>
      </c>
      <c r="E22" s="131">
        <f>C22-D22</f>
        <v>-228808092</v>
      </c>
      <c r="F22" s="356"/>
      <c r="G22" s="356"/>
      <c r="H22" s="356"/>
    </row>
    <row r="23" spans="1:8" s="132" customFormat="1" ht="19.5" customHeight="1">
      <c r="A23" s="135" t="s">
        <v>368</v>
      </c>
      <c r="B23" s="133"/>
      <c r="C23" s="67">
        <f>SUM(C24)</f>
        <v>0</v>
      </c>
      <c r="D23" s="67">
        <f>SUM(D24)</f>
        <v>0</v>
      </c>
      <c r="E23" s="134">
        <v>0</v>
      </c>
      <c r="F23" s="356"/>
      <c r="G23" s="356"/>
      <c r="H23" s="356"/>
    </row>
    <row r="24" spans="1:8" s="132" customFormat="1" ht="19.5" customHeight="1">
      <c r="A24" s="360"/>
      <c r="B24" s="133" t="s">
        <v>369</v>
      </c>
      <c r="C24" s="67">
        <v>0</v>
      </c>
      <c r="D24" s="67">
        <v>0</v>
      </c>
      <c r="E24" s="134">
        <v>0</v>
      </c>
      <c r="F24" s="356"/>
      <c r="G24" s="356"/>
      <c r="H24" s="356"/>
    </row>
    <row r="25" spans="1:5" s="132" customFormat="1" ht="19.5" customHeight="1">
      <c r="A25" s="360" t="s">
        <v>370</v>
      </c>
      <c r="B25" s="133"/>
      <c r="C25" s="67">
        <f>SUM(C26:C30)</f>
        <v>2800000000</v>
      </c>
      <c r="D25" s="67">
        <f>SUM(D26:D30)</f>
        <v>2421221307</v>
      </c>
      <c r="E25" s="134">
        <f>C25-D25</f>
        <v>378778693</v>
      </c>
    </row>
    <row r="26" spans="1:5" s="132" customFormat="1" ht="19.5" customHeight="1">
      <c r="A26" s="128"/>
      <c r="B26" s="129" t="s">
        <v>371</v>
      </c>
      <c r="C26" s="130">
        <v>2800000000</v>
      </c>
      <c r="D26" s="449">
        <f>+부속tb!D152+부속tb!D159</f>
        <v>1374718488</v>
      </c>
      <c r="E26" s="131">
        <f>C26-D26</f>
        <v>1425281512</v>
      </c>
    </row>
    <row r="27" spans="1:5" s="132" customFormat="1" ht="19.5" customHeight="1">
      <c r="A27" s="128"/>
      <c r="B27" s="133" t="s">
        <v>630</v>
      </c>
      <c r="C27" s="67">
        <v>0</v>
      </c>
      <c r="D27" s="67"/>
      <c r="E27" s="134">
        <v>0</v>
      </c>
    </row>
    <row r="28" spans="1:5" s="132" customFormat="1" ht="19.5" customHeight="1">
      <c r="A28" s="128"/>
      <c r="B28" s="133" t="s">
        <v>631</v>
      </c>
      <c r="C28" s="67">
        <v>0</v>
      </c>
      <c r="D28" s="67">
        <v>0</v>
      </c>
      <c r="E28" s="134">
        <v>0</v>
      </c>
    </row>
    <row r="29" spans="1:5" s="132" customFormat="1" ht="19.5" customHeight="1">
      <c r="A29" s="128"/>
      <c r="B29" s="133" t="s">
        <v>741</v>
      </c>
      <c r="C29" s="67"/>
      <c r="D29" s="67">
        <f>+'시산표(현금유출입)'!F160</f>
        <v>983313027</v>
      </c>
      <c r="E29" s="134">
        <f>C29-D29</f>
        <v>-983313027</v>
      </c>
    </row>
    <row r="30" spans="1:5" s="132" customFormat="1" ht="19.5" customHeight="1">
      <c r="A30" s="135"/>
      <c r="B30" s="133" t="s">
        <v>632</v>
      </c>
      <c r="C30" s="67"/>
      <c r="D30" s="67">
        <f>+'시산표(현금유출입)'!G173</f>
        <v>63189792</v>
      </c>
      <c r="E30" s="134">
        <f>C30-D30</f>
        <v>-63189792</v>
      </c>
    </row>
    <row r="31" spans="1:6" s="132" customFormat="1" ht="19.5" customHeight="1">
      <c r="A31" s="360" t="s">
        <v>372</v>
      </c>
      <c r="B31" s="133"/>
      <c r="C31" s="67">
        <f>SUM(C32:C33)</f>
        <v>1800000000</v>
      </c>
      <c r="D31" s="67">
        <f>SUM(D32:D33)</f>
        <v>1611140464</v>
      </c>
      <c r="E31" s="134">
        <f>C31-D31</f>
        <v>188859536</v>
      </c>
      <c r="F31" s="374">
        <f>D30+D55</f>
        <v>79591884</v>
      </c>
    </row>
    <row r="32" spans="1:5" s="132" customFormat="1" ht="19.5" customHeight="1">
      <c r="A32" s="361"/>
      <c r="B32" s="133" t="s">
        <v>373</v>
      </c>
      <c r="C32" s="67">
        <v>1800000000</v>
      </c>
      <c r="D32" s="67">
        <f>+'시산표(현금유출입)'!F157</f>
        <v>1611140464</v>
      </c>
      <c r="E32" s="134">
        <f>C32-D32</f>
        <v>188859536</v>
      </c>
    </row>
    <row r="33" spans="1:5" s="132" customFormat="1" ht="19.5" customHeight="1">
      <c r="A33" s="135"/>
      <c r="B33" s="133" t="s">
        <v>374</v>
      </c>
      <c r="C33" s="67">
        <v>0</v>
      </c>
      <c r="D33" s="67">
        <v>0</v>
      </c>
      <c r="E33" s="134">
        <v>0</v>
      </c>
    </row>
    <row r="34" spans="1:5" s="132" customFormat="1" ht="19.5" customHeight="1">
      <c r="A34" s="413" t="s">
        <v>375</v>
      </c>
      <c r="B34" s="414"/>
      <c r="C34" s="415">
        <f>SUM(C35)</f>
        <v>0</v>
      </c>
      <c r="D34" s="415">
        <f>SUM(D35)</f>
        <v>0</v>
      </c>
      <c r="E34" s="416">
        <v>0</v>
      </c>
    </row>
    <row r="35" spans="1:5" s="132" customFormat="1" ht="19.5" customHeight="1">
      <c r="A35" s="360" t="s">
        <v>376</v>
      </c>
      <c r="B35" s="133"/>
      <c r="C35" s="67">
        <f>SUM(C36)</f>
        <v>0</v>
      </c>
      <c r="D35" s="67">
        <f>SUM(D36)</f>
        <v>0</v>
      </c>
      <c r="E35" s="134">
        <v>0</v>
      </c>
    </row>
    <row r="36" spans="1:5" s="132" customFormat="1" ht="19.5" customHeight="1">
      <c r="A36" s="135"/>
      <c r="B36" s="129" t="s">
        <v>792</v>
      </c>
      <c r="C36" s="130">
        <v>0</v>
      </c>
      <c r="D36" s="130"/>
      <c r="E36" s="131">
        <v>0</v>
      </c>
    </row>
    <row r="37" spans="1:5" s="132" customFormat="1" ht="19.5" customHeight="1">
      <c r="A37" s="413" t="s">
        <v>377</v>
      </c>
      <c r="B37" s="417"/>
      <c r="C37" s="415">
        <f>SUM(C38+C41+C45)</f>
        <v>0</v>
      </c>
      <c r="D37" s="415">
        <f>SUM(D38+D41+D45)</f>
        <v>100000</v>
      </c>
      <c r="E37" s="416">
        <f>C37-D37</f>
        <v>-100000</v>
      </c>
    </row>
    <row r="38" spans="1:5" s="132" customFormat="1" ht="19.5" customHeight="1">
      <c r="A38" s="360" t="s">
        <v>378</v>
      </c>
      <c r="B38" s="133"/>
      <c r="C38" s="67">
        <f>SUM(C39:C40)</f>
        <v>0</v>
      </c>
      <c r="D38" s="67">
        <f>SUM(D39:D40)</f>
        <v>100000</v>
      </c>
      <c r="E38" s="134">
        <v>0</v>
      </c>
    </row>
    <row r="39" spans="1:5" s="132" customFormat="1" ht="19.5" customHeight="1">
      <c r="A39" s="361"/>
      <c r="B39" s="133" t="s">
        <v>379</v>
      </c>
      <c r="C39" s="67">
        <v>0</v>
      </c>
      <c r="D39" s="67">
        <v>0</v>
      </c>
      <c r="E39" s="134">
        <v>0</v>
      </c>
    </row>
    <row r="40" spans="1:5" s="132" customFormat="1" ht="19.5" customHeight="1">
      <c r="A40" s="135"/>
      <c r="B40" s="133" t="s">
        <v>380</v>
      </c>
      <c r="C40" s="67">
        <v>0</v>
      </c>
      <c r="D40" s="67">
        <f>+ocs합잔!F38+ocs합잔!F39+ocs합잔!F40</f>
        <v>100000</v>
      </c>
      <c r="E40" s="134">
        <v>0</v>
      </c>
    </row>
    <row r="41" spans="1:5" s="132" customFormat="1" ht="19.5" customHeight="1">
      <c r="A41" s="360" t="s">
        <v>381</v>
      </c>
      <c r="B41" s="133"/>
      <c r="C41" s="67">
        <f>SUM(C42:C44)</f>
        <v>0</v>
      </c>
      <c r="D41" s="67">
        <f>SUM(D42:D44)</f>
        <v>0</v>
      </c>
      <c r="E41" s="134">
        <v>0</v>
      </c>
    </row>
    <row r="42" spans="1:5" s="132" customFormat="1" ht="19.5" customHeight="1">
      <c r="A42" s="135" t="s">
        <v>381</v>
      </c>
      <c r="B42" s="133" t="s">
        <v>382</v>
      </c>
      <c r="C42" s="67">
        <v>0</v>
      </c>
      <c r="D42" s="67">
        <v>0</v>
      </c>
      <c r="E42" s="134">
        <v>0</v>
      </c>
    </row>
    <row r="43" spans="1:5" s="132" customFormat="1" ht="19.5" customHeight="1">
      <c r="A43" s="135"/>
      <c r="B43" s="133" t="s">
        <v>383</v>
      </c>
      <c r="C43" s="67">
        <v>0</v>
      </c>
      <c r="D43" s="67">
        <v>0</v>
      </c>
      <c r="E43" s="134">
        <v>0</v>
      </c>
    </row>
    <row r="44" spans="1:5" s="132" customFormat="1" ht="19.5" customHeight="1">
      <c r="A44" s="135"/>
      <c r="B44" s="133" t="s">
        <v>384</v>
      </c>
      <c r="C44" s="67">
        <v>0</v>
      </c>
      <c r="D44" s="67">
        <v>0</v>
      </c>
      <c r="E44" s="134">
        <v>0</v>
      </c>
    </row>
    <row r="45" spans="1:5" s="132" customFormat="1" ht="19.5" customHeight="1">
      <c r="A45" s="360" t="s">
        <v>385</v>
      </c>
      <c r="B45" s="133"/>
      <c r="C45" s="67">
        <f>SUM(C46:C48)</f>
        <v>0</v>
      </c>
      <c r="D45" s="67">
        <f>SUM(D46:D48)</f>
        <v>0</v>
      </c>
      <c r="E45" s="134">
        <v>0</v>
      </c>
    </row>
    <row r="46" spans="1:7" s="132" customFormat="1" ht="19.5" customHeight="1">
      <c r="A46" s="361"/>
      <c r="B46" s="133" t="s">
        <v>386</v>
      </c>
      <c r="C46" s="67">
        <v>0</v>
      </c>
      <c r="D46" s="67">
        <v>0</v>
      </c>
      <c r="E46" s="134">
        <v>0</v>
      </c>
      <c r="G46" s="375"/>
    </row>
    <row r="47" spans="1:5" s="132" customFormat="1" ht="19.5" customHeight="1">
      <c r="A47" s="128"/>
      <c r="B47" s="133" t="s">
        <v>387</v>
      </c>
      <c r="C47" s="67">
        <v>0</v>
      </c>
      <c r="D47" s="67">
        <v>0</v>
      </c>
      <c r="E47" s="134">
        <v>0</v>
      </c>
    </row>
    <row r="48" spans="1:5" s="132" customFormat="1" ht="19.5" customHeight="1">
      <c r="A48" s="135"/>
      <c r="B48" s="133" t="s">
        <v>388</v>
      </c>
      <c r="C48" s="67">
        <v>0</v>
      </c>
      <c r="D48" s="67">
        <v>0</v>
      </c>
      <c r="E48" s="134">
        <v>0</v>
      </c>
    </row>
    <row r="49" spans="1:5" s="132" customFormat="1" ht="19.5" customHeight="1">
      <c r="A49" s="409" t="s">
        <v>389</v>
      </c>
      <c r="B49" s="410"/>
      <c r="C49" s="411">
        <f>SUM(C50)</f>
        <v>65625012</v>
      </c>
      <c r="D49" s="411">
        <f>SUM(D50)</f>
        <v>101910208</v>
      </c>
      <c r="E49" s="412">
        <f>C49-D49</f>
        <v>-36285196</v>
      </c>
    </row>
    <row r="50" spans="1:5" s="132" customFormat="1" ht="19.5" customHeight="1">
      <c r="A50" s="360" t="s">
        <v>390</v>
      </c>
      <c r="B50" s="133"/>
      <c r="C50" s="67">
        <f>SUM(C51:C55)</f>
        <v>65625012</v>
      </c>
      <c r="D50" s="67">
        <f>SUM(D51:D55)</f>
        <v>101910208</v>
      </c>
      <c r="E50" s="134">
        <f>C50-D50</f>
        <v>-36285196</v>
      </c>
    </row>
    <row r="51" spans="1:5" s="132" customFormat="1" ht="19.5" customHeight="1">
      <c r="A51" s="361"/>
      <c r="B51" s="133" t="s">
        <v>391</v>
      </c>
      <c r="C51" s="67">
        <v>0</v>
      </c>
      <c r="D51" s="67">
        <v>0</v>
      </c>
      <c r="E51" s="134">
        <f>C51-D51</f>
        <v>0</v>
      </c>
    </row>
    <row r="52" spans="1:5" s="132" customFormat="1" ht="19.5" customHeight="1">
      <c r="A52" s="128"/>
      <c r="B52" s="133" t="s">
        <v>392</v>
      </c>
      <c r="C52" s="67">
        <v>47381156</v>
      </c>
      <c r="D52" s="67">
        <v>28951972</v>
      </c>
      <c r="E52" s="134">
        <v>0</v>
      </c>
    </row>
    <row r="53" spans="1:5" s="132" customFormat="1" ht="19.5" customHeight="1">
      <c r="A53" s="128"/>
      <c r="B53" s="133" t="s">
        <v>393</v>
      </c>
      <c r="C53" s="67">
        <v>0</v>
      </c>
      <c r="D53" s="67">
        <v>0</v>
      </c>
      <c r="E53" s="134">
        <f>C53-D53</f>
        <v>0</v>
      </c>
    </row>
    <row r="54" spans="1:5" s="132" customFormat="1" ht="19.5" customHeight="1">
      <c r="A54" s="128"/>
      <c r="B54" s="133" t="s">
        <v>394</v>
      </c>
      <c r="C54" s="67">
        <v>18243856</v>
      </c>
      <c r="D54" s="67">
        <v>56556144</v>
      </c>
      <c r="E54" s="134">
        <f>C54-D54</f>
        <v>-38312288</v>
      </c>
    </row>
    <row r="55" spans="1:6" s="132" customFormat="1" ht="19.5" customHeight="1">
      <c r="A55" s="135"/>
      <c r="B55" s="133" t="s">
        <v>395</v>
      </c>
      <c r="C55" s="67">
        <v>0</v>
      </c>
      <c r="D55" s="67">
        <v>16402092</v>
      </c>
      <c r="E55" s="134">
        <f>C55-D55</f>
        <v>-16402092</v>
      </c>
      <c r="F55" s="374"/>
    </row>
    <row r="56" spans="1:5" s="132" customFormat="1" ht="19.5" customHeight="1">
      <c r="A56" s="413" t="s">
        <v>396</v>
      </c>
      <c r="B56" s="417"/>
      <c r="C56" s="415">
        <f>SUM(C57)</f>
        <v>0</v>
      </c>
      <c r="D56" s="415">
        <f>SUM(D57)</f>
        <v>0</v>
      </c>
      <c r="E56" s="416">
        <v>0</v>
      </c>
    </row>
    <row r="57" spans="1:5" s="132" customFormat="1" ht="19.5" customHeight="1">
      <c r="A57" s="361" t="s">
        <v>397</v>
      </c>
      <c r="B57" s="362"/>
      <c r="C57" s="68">
        <f>SUM(C58)</f>
        <v>0</v>
      </c>
      <c r="D57" s="68">
        <f>SUM(D58)</f>
        <v>0</v>
      </c>
      <c r="E57" s="363">
        <v>0</v>
      </c>
    </row>
    <row r="58" spans="1:5" s="132" customFormat="1" ht="19.5" customHeight="1">
      <c r="A58" s="360"/>
      <c r="B58" s="133" t="s">
        <v>398</v>
      </c>
      <c r="C58" s="67">
        <v>0</v>
      </c>
      <c r="D58" s="67">
        <v>0</v>
      </c>
      <c r="E58" s="134">
        <v>0</v>
      </c>
    </row>
    <row r="59" spans="1:5" s="132" customFormat="1" ht="19.5" customHeight="1">
      <c r="A59" s="409" t="s">
        <v>399</v>
      </c>
      <c r="B59" s="410"/>
      <c r="C59" s="411">
        <f>SUM(C60+C63)</f>
        <v>0</v>
      </c>
      <c r="D59" s="411">
        <f>SUM(D60+D63)</f>
        <v>0</v>
      </c>
      <c r="E59" s="412">
        <f>C59-D59</f>
        <v>0</v>
      </c>
    </row>
    <row r="60" spans="1:5" s="132" customFormat="1" ht="19.5" customHeight="1">
      <c r="A60" s="360" t="s">
        <v>334</v>
      </c>
      <c r="B60" s="133"/>
      <c r="C60" s="67">
        <f>SUM(C61:C62)</f>
        <v>0</v>
      </c>
      <c r="D60" s="67">
        <f>SUM(D61:D62)</f>
        <v>0</v>
      </c>
      <c r="E60" s="134">
        <f>C60-D60</f>
        <v>0</v>
      </c>
    </row>
    <row r="61" spans="1:5" s="132" customFormat="1" ht="19.5" customHeight="1">
      <c r="A61" s="360"/>
      <c r="B61" s="133" t="s">
        <v>400</v>
      </c>
      <c r="C61" s="67">
        <v>0</v>
      </c>
      <c r="D61" s="67"/>
      <c r="E61" s="134">
        <f>C61-D61</f>
        <v>0</v>
      </c>
    </row>
    <row r="62" spans="1:5" s="132" customFormat="1" ht="19.5" customHeight="1">
      <c r="A62" s="133" t="s">
        <v>334</v>
      </c>
      <c r="B62" s="133" t="s">
        <v>401</v>
      </c>
      <c r="C62" s="67">
        <v>0</v>
      </c>
      <c r="D62" s="67">
        <v>0</v>
      </c>
      <c r="E62" s="134">
        <v>0</v>
      </c>
    </row>
    <row r="63" spans="1:5" s="132" customFormat="1" ht="19.5" customHeight="1">
      <c r="A63" s="360" t="s">
        <v>339</v>
      </c>
      <c r="B63" s="129"/>
      <c r="C63" s="130">
        <f>SUM(C64:C64)</f>
        <v>0</v>
      </c>
      <c r="D63" s="130">
        <f>SUM(D64:D64)</f>
        <v>0</v>
      </c>
      <c r="E63" s="131">
        <f>C63-D63</f>
        <v>0</v>
      </c>
    </row>
    <row r="64" spans="1:5" s="132" customFormat="1" ht="19.5" customHeight="1">
      <c r="A64" s="360"/>
      <c r="B64" s="133" t="s">
        <v>633</v>
      </c>
      <c r="C64" s="67"/>
      <c r="D64" s="67">
        <v>0</v>
      </c>
      <c r="E64" s="134">
        <f>C64-D64</f>
        <v>0</v>
      </c>
    </row>
    <row r="65" spans="1:5" s="132" customFormat="1" ht="19.5" customHeight="1">
      <c r="A65" s="413" t="s">
        <v>342</v>
      </c>
      <c r="B65" s="414"/>
      <c r="C65" s="415">
        <f>SUM(C66)</f>
        <v>0</v>
      </c>
      <c r="D65" s="415">
        <f>SUM(D66)</f>
        <v>0</v>
      </c>
      <c r="E65" s="416">
        <v>0</v>
      </c>
    </row>
    <row r="66" spans="1:5" s="132" customFormat="1" ht="19.5" customHeight="1">
      <c r="A66" s="360" t="s">
        <v>402</v>
      </c>
      <c r="B66" s="133"/>
      <c r="C66" s="67">
        <f>SUM(C67)</f>
        <v>0</v>
      </c>
      <c r="D66" s="67">
        <f>SUM(D67)</f>
        <v>0</v>
      </c>
      <c r="E66" s="134">
        <v>0</v>
      </c>
    </row>
    <row r="67" spans="1:5" s="132" customFormat="1" ht="19.5" customHeight="1">
      <c r="A67" s="360"/>
      <c r="B67" s="133" t="s">
        <v>403</v>
      </c>
      <c r="C67" s="67">
        <v>0</v>
      </c>
      <c r="D67" s="67"/>
      <c r="E67" s="134">
        <v>0</v>
      </c>
    </row>
    <row r="68" spans="1:5" s="132" customFormat="1" ht="19.5" customHeight="1">
      <c r="A68" s="377" t="s">
        <v>404</v>
      </c>
      <c r="B68" s="378"/>
      <c r="C68" s="369">
        <v>187681455908</v>
      </c>
      <c r="D68" s="369">
        <f>+C68</f>
        <v>187681455908</v>
      </c>
      <c r="E68" s="370">
        <f>C68-D68</f>
        <v>0</v>
      </c>
    </row>
    <row r="69" spans="1:5" s="132" customFormat="1" ht="19.5" customHeight="1">
      <c r="A69" s="379" t="s">
        <v>405</v>
      </c>
      <c r="B69" s="380"/>
      <c r="C69" s="381">
        <f>C68+C59+C56+C49+C37+C20+C14+C7</f>
        <v>401109221310</v>
      </c>
      <c r="D69" s="381">
        <f>D68+D65+D59+D56+D49+D37+D20+D14+D7+D34</f>
        <v>398042386434</v>
      </c>
      <c r="E69" s="382">
        <f>C69-D69</f>
        <v>3066834876</v>
      </c>
    </row>
    <row r="70" ht="14.25">
      <c r="G70" s="181"/>
    </row>
    <row r="71" spans="5:255" ht="17.25" customHeight="1">
      <c r="E71" s="181"/>
      <c r="G71" s="181"/>
      <c r="O71" s="181"/>
      <c r="W71" s="181"/>
      <c r="AE71" s="181"/>
      <c r="AM71" s="181"/>
      <c r="AU71" s="181"/>
      <c r="BC71" s="181"/>
      <c r="BK71" s="181"/>
      <c r="BS71" s="181"/>
      <c r="CA71" s="181"/>
      <c r="CI71" s="181"/>
      <c r="CQ71" s="181"/>
      <c r="CY71" s="181"/>
      <c r="DG71" s="181"/>
      <c r="DO71" s="181"/>
      <c r="DW71" s="181"/>
      <c r="EE71" s="181"/>
      <c r="EM71" s="181"/>
      <c r="EU71" s="181"/>
      <c r="FC71" s="181"/>
      <c r="FK71" s="181"/>
      <c r="FS71" s="181"/>
      <c r="GA71" s="181"/>
      <c r="GI71" s="181"/>
      <c r="GQ71" s="181"/>
      <c r="GY71" s="181"/>
      <c r="HG71" s="181"/>
      <c r="HO71" s="181"/>
      <c r="HW71" s="181"/>
      <c r="IE71" s="181"/>
      <c r="IM71" s="181"/>
      <c r="IU71" s="181"/>
    </row>
    <row r="72" spans="7:255" ht="19.5" customHeight="1">
      <c r="G72" s="181"/>
      <c r="O72" s="181"/>
      <c r="W72" s="181"/>
      <c r="AE72" s="181"/>
      <c r="AM72" s="181"/>
      <c r="AU72" s="181"/>
      <c r="BC72" s="181"/>
      <c r="BK72" s="181"/>
      <c r="BS72" s="181"/>
      <c r="CA72" s="181"/>
      <c r="CI72" s="181"/>
      <c r="CQ72" s="181"/>
      <c r="CY72" s="181"/>
      <c r="DG72" s="181"/>
      <c r="DO72" s="181"/>
      <c r="DW72" s="181"/>
      <c r="EE72" s="181"/>
      <c r="EM72" s="181"/>
      <c r="EU72" s="181"/>
      <c r="FC72" s="181"/>
      <c r="FK72" s="181"/>
      <c r="FS72" s="181"/>
      <c r="GA72" s="181"/>
      <c r="GI72" s="181"/>
      <c r="GQ72" s="181"/>
      <c r="GY72" s="181"/>
      <c r="HG72" s="181"/>
      <c r="HO72" s="181"/>
      <c r="HW72" s="181"/>
      <c r="IE72" s="181"/>
      <c r="IM72" s="181"/>
      <c r="IU72" s="181"/>
    </row>
    <row r="73" spans="7:255" ht="19.5" customHeight="1">
      <c r="G73" s="181"/>
      <c r="O73" s="181"/>
      <c r="W73" s="181"/>
      <c r="AE73" s="181"/>
      <c r="AM73" s="181"/>
      <c r="AU73" s="181"/>
      <c r="BC73" s="181"/>
      <c r="BK73" s="181"/>
      <c r="BS73" s="181"/>
      <c r="CA73" s="181"/>
      <c r="CI73" s="181"/>
      <c r="CQ73" s="181"/>
      <c r="CY73" s="181"/>
      <c r="DG73" s="181"/>
      <c r="DO73" s="181"/>
      <c r="DW73" s="181"/>
      <c r="EE73" s="181"/>
      <c r="EM73" s="181"/>
      <c r="EU73" s="181"/>
      <c r="FC73" s="181"/>
      <c r="FK73" s="181"/>
      <c r="FS73" s="181"/>
      <c r="GA73" s="181"/>
      <c r="GI73" s="181"/>
      <c r="GQ73" s="181"/>
      <c r="GY73" s="181"/>
      <c r="HG73" s="181"/>
      <c r="HO73" s="181"/>
      <c r="HW73" s="181"/>
      <c r="IE73" s="181"/>
      <c r="IM73" s="181"/>
      <c r="IU73" s="181"/>
    </row>
    <row r="74" spans="7:255" ht="19.5" customHeight="1">
      <c r="G74" s="181"/>
      <c r="O74" s="181"/>
      <c r="W74" s="181"/>
      <c r="AE74" s="181"/>
      <c r="AM74" s="181"/>
      <c r="AU74" s="181"/>
      <c r="BC74" s="181"/>
      <c r="BK74" s="181"/>
      <c r="BS74" s="181"/>
      <c r="CA74" s="181"/>
      <c r="CI74" s="181"/>
      <c r="CQ74" s="181"/>
      <c r="CY74" s="181"/>
      <c r="DG74" s="181"/>
      <c r="DO74" s="181"/>
      <c r="DW74" s="181"/>
      <c r="EE74" s="181"/>
      <c r="EM74" s="181"/>
      <c r="EU74" s="181"/>
      <c r="FC74" s="181"/>
      <c r="FK74" s="181"/>
      <c r="FS74" s="181"/>
      <c r="GA74" s="181"/>
      <c r="GI74" s="181"/>
      <c r="GQ74" s="181"/>
      <c r="GY74" s="181"/>
      <c r="HG74" s="181"/>
      <c r="HO74" s="181"/>
      <c r="HW74" s="181"/>
      <c r="IE74" s="181"/>
      <c r="IM74" s="181"/>
      <c r="IU74" s="181"/>
    </row>
    <row r="75" spans="7:255" ht="19.5" customHeight="1">
      <c r="G75" s="181"/>
      <c r="O75" s="181"/>
      <c r="W75" s="181"/>
      <c r="AE75" s="181"/>
      <c r="AM75" s="181"/>
      <c r="AU75" s="181"/>
      <c r="BC75" s="181"/>
      <c r="BK75" s="181"/>
      <c r="BS75" s="181"/>
      <c r="CA75" s="181"/>
      <c r="CI75" s="181"/>
      <c r="CQ75" s="181"/>
      <c r="CY75" s="181"/>
      <c r="DG75" s="181"/>
      <c r="DO75" s="181"/>
      <c r="DW75" s="181"/>
      <c r="EE75" s="181"/>
      <c r="EM75" s="181"/>
      <c r="EU75" s="181"/>
      <c r="FC75" s="181"/>
      <c r="FK75" s="181"/>
      <c r="FS75" s="181"/>
      <c r="GA75" s="181"/>
      <c r="GI75" s="181"/>
      <c r="GQ75" s="181"/>
      <c r="GY75" s="181"/>
      <c r="HG75" s="181"/>
      <c r="HO75" s="181"/>
      <c r="HW75" s="181"/>
      <c r="IE75" s="181"/>
      <c r="IM75" s="181"/>
      <c r="IU75" s="181"/>
    </row>
    <row r="76" spans="7:255" ht="19.5" customHeight="1">
      <c r="G76" s="181"/>
      <c r="O76" s="181"/>
      <c r="W76" s="181"/>
      <c r="AE76" s="181"/>
      <c r="AM76" s="181"/>
      <c r="AU76" s="181"/>
      <c r="BC76" s="181"/>
      <c r="BK76" s="181"/>
      <c r="BS76" s="181"/>
      <c r="CA76" s="181"/>
      <c r="CI76" s="181"/>
      <c r="CQ76" s="181"/>
      <c r="CY76" s="181"/>
      <c r="DG76" s="181"/>
      <c r="DO76" s="181"/>
      <c r="DW76" s="181"/>
      <c r="EE76" s="181"/>
      <c r="EM76" s="181"/>
      <c r="EU76" s="181"/>
      <c r="FC76" s="181"/>
      <c r="FK76" s="181"/>
      <c r="FS76" s="181"/>
      <c r="GA76" s="181"/>
      <c r="GI76" s="181"/>
      <c r="GQ76" s="181"/>
      <c r="GY76" s="181"/>
      <c r="HG76" s="181"/>
      <c r="HO76" s="181"/>
      <c r="HW76" s="181"/>
      <c r="IE76" s="181"/>
      <c r="IM76" s="181"/>
      <c r="IU76" s="181"/>
    </row>
    <row r="77" spans="7:255" ht="19.5" customHeight="1">
      <c r="G77" s="181"/>
      <c r="O77" s="181"/>
      <c r="W77" s="181"/>
      <c r="AE77" s="181"/>
      <c r="AM77" s="181"/>
      <c r="AU77" s="181"/>
      <c r="BC77" s="181"/>
      <c r="BK77" s="181"/>
      <c r="BS77" s="181"/>
      <c r="CA77" s="181"/>
      <c r="CI77" s="181"/>
      <c r="CQ77" s="181"/>
      <c r="CY77" s="181"/>
      <c r="DG77" s="181"/>
      <c r="DO77" s="181"/>
      <c r="DW77" s="181"/>
      <c r="EE77" s="181"/>
      <c r="EM77" s="181"/>
      <c r="EU77" s="181"/>
      <c r="FC77" s="181"/>
      <c r="FK77" s="181"/>
      <c r="FS77" s="181"/>
      <c r="GA77" s="181"/>
      <c r="GI77" s="181"/>
      <c r="GQ77" s="181"/>
      <c r="GY77" s="181"/>
      <c r="HG77" s="181"/>
      <c r="HO77" s="181"/>
      <c r="HW77" s="181"/>
      <c r="IE77" s="181"/>
      <c r="IM77" s="181"/>
      <c r="IU77" s="181"/>
    </row>
    <row r="78" spans="7:255" ht="19.5" customHeight="1">
      <c r="G78" s="181"/>
      <c r="O78" s="181"/>
      <c r="W78" s="181"/>
      <c r="AE78" s="181"/>
      <c r="AM78" s="181"/>
      <c r="AU78" s="181"/>
      <c r="BC78" s="181"/>
      <c r="BK78" s="181"/>
      <c r="BS78" s="181"/>
      <c r="CA78" s="181"/>
      <c r="CI78" s="181"/>
      <c r="CQ78" s="181"/>
      <c r="CY78" s="181"/>
      <c r="DG78" s="181"/>
      <c r="DO78" s="181"/>
      <c r="DW78" s="181"/>
      <c r="EE78" s="181"/>
      <c r="EM78" s="181"/>
      <c r="EU78" s="181"/>
      <c r="FC78" s="181"/>
      <c r="FK78" s="181"/>
      <c r="FS78" s="181"/>
      <c r="GA78" s="181"/>
      <c r="GI78" s="181"/>
      <c r="GQ78" s="181"/>
      <c r="GY78" s="181"/>
      <c r="HG78" s="181"/>
      <c r="HO78" s="181"/>
      <c r="HW78" s="181"/>
      <c r="IE78" s="181"/>
      <c r="IM78" s="181"/>
      <c r="IU78" s="181"/>
    </row>
    <row r="79" spans="7:255" ht="19.5" customHeight="1">
      <c r="G79" s="181"/>
      <c r="O79" s="181"/>
      <c r="W79" s="181"/>
      <c r="AE79" s="181"/>
      <c r="AM79" s="181"/>
      <c r="AU79" s="181"/>
      <c r="BC79" s="181"/>
      <c r="BK79" s="181"/>
      <c r="BS79" s="181"/>
      <c r="CA79" s="181"/>
      <c r="CI79" s="181"/>
      <c r="CQ79" s="181"/>
      <c r="CY79" s="181"/>
      <c r="DG79" s="181"/>
      <c r="DO79" s="181"/>
      <c r="DW79" s="181"/>
      <c r="EE79" s="181"/>
      <c r="EM79" s="181"/>
      <c r="EU79" s="181"/>
      <c r="FC79" s="181"/>
      <c r="FK79" s="181"/>
      <c r="FS79" s="181"/>
      <c r="GA79" s="181"/>
      <c r="GI79" s="181"/>
      <c r="GQ79" s="181"/>
      <c r="GY79" s="181"/>
      <c r="HG79" s="181"/>
      <c r="HO79" s="181"/>
      <c r="HW79" s="181"/>
      <c r="IE79" s="181"/>
      <c r="IM79" s="181"/>
      <c r="IU79" s="181"/>
    </row>
    <row r="80" spans="7:255" ht="19.5" customHeight="1">
      <c r="G80" s="181"/>
      <c r="O80" s="181"/>
      <c r="W80" s="181"/>
      <c r="AE80" s="181"/>
      <c r="AM80" s="181"/>
      <c r="AU80" s="181"/>
      <c r="BC80" s="181"/>
      <c r="BK80" s="181"/>
      <c r="BS80" s="181"/>
      <c r="CA80" s="181"/>
      <c r="CI80" s="181"/>
      <c r="CQ80" s="181"/>
      <c r="CY80" s="181"/>
      <c r="DG80" s="181"/>
      <c r="DO80" s="181"/>
      <c r="DW80" s="181"/>
      <c r="EE80" s="181"/>
      <c r="EM80" s="181"/>
      <c r="EU80" s="181"/>
      <c r="FC80" s="181"/>
      <c r="FK80" s="181"/>
      <c r="FS80" s="181"/>
      <c r="GA80" s="181"/>
      <c r="GI80" s="181"/>
      <c r="GQ80" s="181"/>
      <c r="GY80" s="181"/>
      <c r="HG80" s="181"/>
      <c r="HO80" s="181"/>
      <c r="HW80" s="181"/>
      <c r="IE80" s="181"/>
      <c r="IM80" s="181"/>
      <c r="IU80" s="181"/>
    </row>
    <row r="81" spans="7:255" ht="19.5" customHeight="1">
      <c r="G81" s="181"/>
      <c r="O81" s="181"/>
      <c r="W81" s="181"/>
      <c r="AE81" s="181"/>
      <c r="AM81" s="181"/>
      <c r="AU81" s="181"/>
      <c r="BC81" s="181"/>
      <c r="BK81" s="181"/>
      <c r="BS81" s="181"/>
      <c r="CA81" s="181"/>
      <c r="CI81" s="181"/>
      <c r="CQ81" s="181"/>
      <c r="CY81" s="181"/>
      <c r="DG81" s="181"/>
      <c r="DO81" s="181"/>
      <c r="DW81" s="181"/>
      <c r="EE81" s="181"/>
      <c r="EM81" s="181"/>
      <c r="EU81" s="181"/>
      <c r="FC81" s="181"/>
      <c r="FK81" s="181"/>
      <c r="FS81" s="181"/>
      <c r="GA81" s="181"/>
      <c r="GI81" s="181"/>
      <c r="GQ81" s="181"/>
      <c r="GY81" s="181"/>
      <c r="HG81" s="181"/>
      <c r="HO81" s="181"/>
      <c r="HW81" s="181"/>
      <c r="IE81" s="181"/>
      <c r="IM81" s="181"/>
      <c r="IU81" s="181"/>
    </row>
    <row r="82" spans="7:255" ht="19.5" customHeight="1">
      <c r="G82" s="181"/>
      <c r="O82" s="181"/>
      <c r="W82" s="181"/>
      <c r="AE82" s="181"/>
      <c r="AM82" s="181"/>
      <c r="AU82" s="181"/>
      <c r="BC82" s="181"/>
      <c r="BK82" s="181"/>
      <c r="BS82" s="181"/>
      <c r="CA82" s="181"/>
      <c r="CI82" s="181"/>
      <c r="CQ82" s="181"/>
      <c r="CY82" s="181"/>
      <c r="DG82" s="181"/>
      <c r="DO82" s="181"/>
      <c r="DW82" s="181"/>
      <c r="EE82" s="181"/>
      <c r="EM82" s="181"/>
      <c r="EU82" s="181"/>
      <c r="FC82" s="181"/>
      <c r="FK82" s="181"/>
      <c r="FS82" s="181"/>
      <c r="GA82" s="181"/>
      <c r="GI82" s="181"/>
      <c r="GQ82" s="181"/>
      <c r="GY82" s="181"/>
      <c r="HG82" s="181"/>
      <c r="HO82" s="181"/>
      <c r="HW82" s="181"/>
      <c r="IE82" s="181"/>
      <c r="IM82" s="181"/>
      <c r="IU82" s="181"/>
    </row>
    <row r="83" spans="7:255" ht="19.5" customHeight="1">
      <c r="G83" s="181"/>
      <c r="O83" s="181"/>
      <c r="W83" s="181"/>
      <c r="AE83" s="181"/>
      <c r="AM83" s="181"/>
      <c r="AU83" s="181"/>
      <c r="BC83" s="181"/>
      <c r="BK83" s="181"/>
      <c r="BS83" s="181"/>
      <c r="CA83" s="181"/>
      <c r="CI83" s="181"/>
      <c r="CQ83" s="181"/>
      <c r="CY83" s="181"/>
      <c r="DG83" s="181"/>
      <c r="DO83" s="181"/>
      <c r="DW83" s="181"/>
      <c r="EE83" s="181"/>
      <c r="EM83" s="181"/>
      <c r="EU83" s="181"/>
      <c r="FC83" s="181"/>
      <c r="FK83" s="181"/>
      <c r="FS83" s="181"/>
      <c r="GA83" s="181"/>
      <c r="GI83" s="181"/>
      <c r="GQ83" s="181"/>
      <c r="GY83" s="181"/>
      <c r="HG83" s="181"/>
      <c r="HO83" s="181"/>
      <c r="HW83" s="181"/>
      <c r="IE83" s="181"/>
      <c r="IM83" s="181"/>
      <c r="IU83" s="181"/>
    </row>
    <row r="84" spans="7:255" ht="19.5" customHeight="1">
      <c r="G84" s="181"/>
      <c r="O84" s="181"/>
      <c r="W84" s="181"/>
      <c r="AE84" s="181"/>
      <c r="AM84" s="181"/>
      <c r="AU84" s="181"/>
      <c r="BC84" s="181"/>
      <c r="BK84" s="181"/>
      <c r="BS84" s="181"/>
      <c r="CA84" s="181"/>
      <c r="CI84" s="181"/>
      <c r="CQ84" s="181"/>
      <c r="CY84" s="181"/>
      <c r="DG84" s="181"/>
      <c r="DO84" s="181"/>
      <c r="DW84" s="181"/>
      <c r="EE84" s="181"/>
      <c r="EM84" s="181"/>
      <c r="EU84" s="181"/>
      <c r="FC84" s="181"/>
      <c r="FK84" s="181"/>
      <c r="FS84" s="181"/>
      <c r="GA84" s="181"/>
      <c r="GI84" s="181"/>
      <c r="GQ84" s="181"/>
      <c r="GY84" s="181"/>
      <c r="HG84" s="181"/>
      <c r="HO84" s="181"/>
      <c r="HW84" s="181"/>
      <c r="IE84" s="181"/>
      <c r="IM84" s="181"/>
      <c r="IU84" s="181"/>
    </row>
    <row r="85" spans="7:255" ht="19.5" customHeight="1">
      <c r="G85" s="181"/>
      <c r="O85" s="181"/>
      <c r="W85" s="181"/>
      <c r="AE85" s="181"/>
      <c r="AM85" s="181"/>
      <c r="AU85" s="181"/>
      <c r="BC85" s="181"/>
      <c r="BK85" s="181"/>
      <c r="BS85" s="181"/>
      <c r="CA85" s="181"/>
      <c r="CI85" s="181"/>
      <c r="CQ85" s="181"/>
      <c r="CY85" s="181"/>
      <c r="DG85" s="181"/>
      <c r="DO85" s="181"/>
      <c r="DW85" s="181"/>
      <c r="EE85" s="181"/>
      <c r="EM85" s="181"/>
      <c r="EU85" s="181"/>
      <c r="FC85" s="181"/>
      <c r="FK85" s="181"/>
      <c r="FS85" s="181"/>
      <c r="GA85" s="181"/>
      <c r="GI85" s="181"/>
      <c r="GQ85" s="181"/>
      <c r="GY85" s="181"/>
      <c r="HG85" s="181"/>
      <c r="HO85" s="181"/>
      <c r="HW85" s="181"/>
      <c r="IE85" s="181"/>
      <c r="IM85" s="181"/>
      <c r="IU85" s="181"/>
    </row>
    <row r="86" spans="7:255" ht="19.5" customHeight="1">
      <c r="G86" s="181"/>
      <c r="O86" s="181"/>
      <c r="W86" s="181"/>
      <c r="AE86" s="181"/>
      <c r="AM86" s="181"/>
      <c r="AU86" s="181"/>
      <c r="BC86" s="181"/>
      <c r="BK86" s="181"/>
      <c r="BS86" s="181"/>
      <c r="CA86" s="181"/>
      <c r="CI86" s="181"/>
      <c r="CQ86" s="181"/>
      <c r="CY86" s="181"/>
      <c r="DG86" s="181"/>
      <c r="DO86" s="181"/>
      <c r="DW86" s="181"/>
      <c r="EE86" s="181"/>
      <c r="EM86" s="181"/>
      <c r="EU86" s="181"/>
      <c r="FC86" s="181"/>
      <c r="FK86" s="181"/>
      <c r="FS86" s="181"/>
      <c r="GA86" s="181"/>
      <c r="GI86" s="181"/>
      <c r="GQ86" s="181"/>
      <c r="GY86" s="181"/>
      <c r="HG86" s="181"/>
      <c r="HO86" s="181"/>
      <c r="HW86" s="181"/>
      <c r="IE86" s="181"/>
      <c r="IM86" s="181"/>
      <c r="IU86" s="181"/>
    </row>
    <row r="87" spans="7:255" ht="19.5" customHeight="1">
      <c r="G87" s="181"/>
      <c r="O87" s="181"/>
      <c r="W87" s="181"/>
      <c r="AE87" s="181"/>
      <c r="AM87" s="181"/>
      <c r="AU87" s="181"/>
      <c r="BC87" s="181"/>
      <c r="BK87" s="181"/>
      <c r="BS87" s="181"/>
      <c r="CA87" s="181"/>
      <c r="CI87" s="181"/>
      <c r="CQ87" s="181"/>
      <c r="CY87" s="181"/>
      <c r="DG87" s="181"/>
      <c r="DO87" s="181"/>
      <c r="DW87" s="181"/>
      <c r="EE87" s="181"/>
      <c r="EM87" s="181"/>
      <c r="EU87" s="181"/>
      <c r="FC87" s="181"/>
      <c r="FK87" s="181"/>
      <c r="FS87" s="181"/>
      <c r="GA87" s="181"/>
      <c r="GI87" s="181"/>
      <c r="GQ87" s="181"/>
      <c r="GY87" s="181"/>
      <c r="HG87" s="181"/>
      <c r="HO87" s="181"/>
      <c r="HW87" s="181"/>
      <c r="IE87" s="181"/>
      <c r="IM87" s="181"/>
      <c r="IU87" s="181"/>
    </row>
    <row r="88" spans="7:255" ht="19.5" customHeight="1">
      <c r="G88" s="181"/>
      <c r="O88" s="181"/>
      <c r="W88" s="181"/>
      <c r="AE88" s="181"/>
      <c r="AM88" s="181"/>
      <c r="AU88" s="181"/>
      <c r="BC88" s="181"/>
      <c r="BK88" s="181"/>
      <c r="BS88" s="181"/>
      <c r="CA88" s="181"/>
      <c r="CI88" s="181"/>
      <c r="CQ88" s="181"/>
      <c r="CY88" s="181"/>
      <c r="DG88" s="181"/>
      <c r="DO88" s="181"/>
      <c r="DW88" s="181"/>
      <c r="EE88" s="181"/>
      <c r="EM88" s="181"/>
      <c r="EU88" s="181"/>
      <c r="FC88" s="181"/>
      <c r="FK88" s="181"/>
      <c r="FS88" s="181"/>
      <c r="GA88" s="181"/>
      <c r="GI88" s="181"/>
      <c r="GQ88" s="181"/>
      <c r="GY88" s="181"/>
      <c r="HG88" s="181"/>
      <c r="HO88" s="181"/>
      <c r="HW88" s="181"/>
      <c r="IE88" s="181"/>
      <c r="IM88" s="181"/>
      <c r="IU88" s="181"/>
    </row>
    <row r="89" spans="7:255" ht="19.5" customHeight="1">
      <c r="G89" s="181"/>
      <c r="O89" s="181"/>
      <c r="W89" s="181"/>
      <c r="AE89" s="181"/>
      <c r="AM89" s="181"/>
      <c r="AU89" s="181"/>
      <c r="BC89" s="181"/>
      <c r="BK89" s="181"/>
      <c r="BS89" s="181"/>
      <c r="CA89" s="181"/>
      <c r="CI89" s="181"/>
      <c r="CQ89" s="181"/>
      <c r="CY89" s="181"/>
      <c r="DG89" s="181"/>
      <c r="DO89" s="181"/>
      <c r="DW89" s="181"/>
      <c r="EE89" s="181"/>
      <c r="EM89" s="181"/>
      <c r="EU89" s="181"/>
      <c r="FC89" s="181"/>
      <c r="FK89" s="181"/>
      <c r="FS89" s="181"/>
      <c r="GA89" s="181"/>
      <c r="GI89" s="181"/>
      <c r="GQ89" s="181"/>
      <c r="GY89" s="181"/>
      <c r="HG89" s="181"/>
      <c r="HO89" s="181"/>
      <c r="HW89" s="181"/>
      <c r="IE89" s="181"/>
      <c r="IM89" s="181"/>
      <c r="IU89" s="181"/>
    </row>
    <row r="90" spans="7:255" ht="19.5" customHeight="1">
      <c r="G90" s="181"/>
      <c r="O90" s="181"/>
      <c r="W90" s="181"/>
      <c r="AE90" s="181"/>
      <c r="AM90" s="181"/>
      <c r="AU90" s="181"/>
      <c r="BC90" s="181"/>
      <c r="BK90" s="181"/>
      <c r="BS90" s="181"/>
      <c r="CA90" s="181"/>
      <c r="CI90" s="181"/>
      <c r="CQ90" s="181"/>
      <c r="CY90" s="181"/>
      <c r="DG90" s="181"/>
      <c r="DO90" s="181"/>
      <c r="DW90" s="181"/>
      <c r="EE90" s="181"/>
      <c r="EM90" s="181"/>
      <c r="EU90" s="181"/>
      <c r="FC90" s="181"/>
      <c r="FK90" s="181"/>
      <c r="FS90" s="181"/>
      <c r="GA90" s="181"/>
      <c r="GI90" s="181"/>
      <c r="GQ90" s="181"/>
      <c r="GY90" s="181"/>
      <c r="HG90" s="181"/>
      <c r="HO90" s="181"/>
      <c r="HW90" s="181"/>
      <c r="IE90" s="181"/>
      <c r="IM90" s="181"/>
      <c r="IU90" s="181"/>
    </row>
    <row r="91" spans="7:255" ht="19.5" customHeight="1">
      <c r="G91" s="181"/>
      <c r="O91" s="181"/>
      <c r="W91" s="181"/>
      <c r="AE91" s="181"/>
      <c r="AM91" s="181"/>
      <c r="AU91" s="181"/>
      <c r="BC91" s="181"/>
      <c r="BK91" s="181"/>
      <c r="BS91" s="181"/>
      <c r="CA91" s="181"/>
      <c r="CI91" s="181"/>
      <c r="CQ91" s="181"/>
      <c r="CY91" s="181"/>
      <c r="DG91" s="181"/>
      <c r="DO91" s="181"/>
      <c r="DW91" s="181"/>
      <c r="EE91" s="181"/>
      <c r="EM91" s="181"/>
      <c r="EU91" s="181"/>
      <c r="FC91" s="181"/>
      <c r="FK91" s="181"/>
      <c r="FS91" s="181"/>
      <c r="GA91" s="181"/>
      <c r="GI91" s="181"/>
      <c r="GQ91" s="181"/>
      <c r="GY91" s="181"/>
      <c r="HG91" s="181"/>
      <c r="HO91" s="181"/>
      <c r="HW91" s="181"/>
      <c r="IE91" s="181"/>
      <c r="IM91" s="181"/>
      <c r="IU91" s="181"/>
    </row>
    <row r="92" spans="7:255" ht="19.5" customHeight="1">
      <c r="G92" s="181"/>
      <c r="O92" s="181"/>
      <c r="W92" s="181"/>
      <c r="AE92" s="181"/>
      <c r="AM92" s="181"/>
      <c r="AU92" s="181"/>
      <c r="BC92" s="181"/>
      <c r="BK92" s="181"/>
      <c r="BS92" s="181"/>
      <c r="CA92" s="181"/>
      <c r="CI92" s="181"/>
      <c r="CQ92" s="181"/>
      <c r="CY92" s="181"/>
      <c r="DG92" s="181"/>
      <c r="DO92" s="181"/>
      <c r="DW92" s="181"/>
      <c r="EE92" s="181"/>
      <c r="EM92" s="181"/>
      <c r="EU92" s="181"/>
      <c r="FC92" s="181"/>
      <c r="FK92" s="181"/>
      <c r="FS92" s="181"/>
      <c r="GA92" s="181"/>
      <c r="GI92" s="181"/>
      <c r="GQ92" s="181"/>
      <c r="GY92" s="181"/>
      <c r="HG92" s="181"/>
      <c r="HO92" s="181"/>
      <c r="HW92" s="181"/>
      <c r="IE92" s="181"/>
      <c r="IM92" s="181"/>
      <c r="IU92" s="181"/>
    </row>
    <row r="93" spans="7:255" ht="19.5" customHeight="1">
      <c r="G93" s="181"/>
      <c r="O93" s="181"/>
      <c r="W93" s="181"/>
      <c r="AE93" s="181"/>
      <c r="AM93" s="181"/>
      <c r="AU93" s="181"/>
      <c r="BC93" s="181"/>
      <c r="BK93" s="181"/>
      <c r="BS93" s="181"/>
      <c r="CA93" s="181"/>
      <c r="CI93" s="181"/>
      <c r="CQ93" s="181"/>
      <c r="CY93" s="181"/>
      <c r="DG93" s="181"/>
      <c r="DO93" s="181"/>
      <c r="DW93" s="181"/>
      <c r="EE93" s="181"/>
      <c r="EM93" s="181"/>
      <c r="EU93" s="181"/>
      <c r="FC93" s="181"/>
      <c r="FK93" s="181"/>
      <c r="FS93" s="181"/>
      <c r="GA93" s="181"/>
      <c r="GI93" s="181"/>
      <c r="GQ93" s="181"/>
      <c r="GY93" s="181"/>
      <c r="HG93" s="181"/>
      <c r="HO93" s="181"/>
      <c r="HW93" s="181"/>
      <c r="IE93" s="181"/>
      <c r="IM93" s="181"/>
      <c r="IU93" s="181"/>
    </row>
    <row r="94" spans="7:255" ht="19.5" customHeight="1">
      <c r="G94" s="181"/>
      <c r="O94" s="181"/>
      <c r="W94" s="181"/>
      <c r="AE94" s="181"/>
      <c r="AM94" s="181"/>
      <c r="AU94" s="181"/>
      <c r="BC94" s="181"/>
      <c r="BK94" s="181"/>
      <c r="BS94" s="181"/>
      <c r="CA94" s="181"/>
      <c r="CI94" s="181"/>
      <c r="CQ94" s="181"/>
      <c r="CY94" s="181"/>
      <c r="DG94" s="181"/>
      <c r="DO94" s="181"/>
      <c r="DW94" s="181"/>
      <c r="EE94" s="181"/>
      <c r="EM94" s="181"/>
      <c r="EU94" s="181"/>
      <c r="FC94" s="181"/>
      <c r="FK94" s="181"/>
      <c r="FS94" s="181"/>
      <c r="GA94" s="181"/>
      <c r="GI94" s="181"/>
      <c r="GQ94" s="181"/>
      <c r="GY94" s="181"/>
      <c r="HG94" s="181"/>
      <c r="HO94" s="181"/>
      <c r="HW94" s="181"/>
      <c r="IE94" s="181"/>
      <c r="IM94" s="181"/>
      <c r="IU94" s="181"/>
    </row>
    <row r="95" spans="7:255" ht="19.5" customHeight="1">
      <c r="G95" s="181"/>
      <c r="O95" s="181"/>
      <c r="W95" s="181"/>
      <c r="AE95" s="181"/>
      <c r="AM95" s="181"/>
      <c r="AU95" s="181"/>
      <c r="BC95" s="181"/>
      <c r="BK95" s="181"/>
      <c r="BS95" s="181"/>
      <c r="CA95" s="181"/>
      <c r="CI95" s="181"/>
      <c r="CQ95" s="181"/>
      <c r="CY95" s="181"/>
      <c r="DG95" s="181"/>
      <c r="DO95" s="181"/>
      <c r="DW95" s="181"/>
      <c r="EE95" s="181"/>
      <c r="EM95" s="181"/>
      <c r="EU95" s="181"/>
      <c r="FC95" s="181"/>
      <c r="FK95" s="181"/>
      <c r="FS95" s="181"/>
      <c r="GA95" s="181"/>
      <c r="GI95" s="181"/>
      <c r="GQ95" s="181"/>
      <c r="GY95" s="181"/>
      <c r="HG95" s="181"/>
      <c r="HO95" s="181"/>
      <c r="HW95" s="181"/>
      <c r="IE95" s="181"/>
      <c r="IM95" s="181"/>
      <c r="IU95" s="181"/>
    </row>
    <row r="96" spans="7:255" ht="19.5" customHeight="1">
      <c r="G96" s="181"/>
      <c r="O96" s="181"/>
      <c r="W96" s="181"/>
      <c r="AE96" s="181"/>
      <c r="AM96" s="181"/>
      <c r="AU96" s="181"/>
      <c r="BC96" s="181"/>
      <c r="BK96" s="181"/>
      <c r="BS96" s="181"/>
      <c r="CA96" s="181"/>
      <c r="CI96" s="181"/>
      <c r="CQ96" s="181"/>
      <c r="CY96" s="181"/>
      <c r="DG96" s="181"/>
      <c r="DO96" s="181"/>
      <c r="DW96" s="181"/>
      <c r="EE96" s="181"/>
      <c r="EM96" s="181"/>
      <c r="EU96" s="181"/>
      <c r="FC96" s="181"/>
      <c r="FK96" s="181"/>
      <c r="FS96" s="181"/>
      <c r="GA96" s="181"/>
      <c r="GI96" s="181"/>
      <c r="GQ96" s="181"/>
      <c r="GY96" s="181"/>
      <c r="HG96" s="181"/>
      <c r="HO96" s="181"/>
      <c r="HW96" s="181"/>
      <c r="IE96" s="181"/>
      <c r="IM96" s="181"/>
      <c r="IU96" s="181"/>
    </row>
    <row r="97" spans="7:255" ht="19.5" customHeight="1">
      <c r="G97" s="181"/>
      <c r="O97" s="181"/>
      <c r="W97" s="181"/>
      <c r="AE97" s="181"/>
      <c r="AM97" s="181"/>
      <c r="AU97" s="181"/>
      <c r="BC97" s="181"/>
      <c r="BK97" s="181"/>
      <c r="BS97" s="181"/>
      <c r="CA97" s="181"/>
      <c r="CI97" s="181"/>
      <c r="CQ97" s="181"/>
      <c r="CY97" s="181"/>
      <c r="DG97" s="181"/>
      <c r="DO97" s="181"/>
      <c r="DW97" s="181"/>
      <c r="EE97" s="181"/>
      <c r="EM97" s="181"/>
      <c r="EU97" s="181"/>
      <c r="FC97" s="181"/>
      <c r="FK97" s="181"/>
      <c r="FS97" s="181"/>
      <c r="GA97" s="181"/>
      <c r="GI97" s="181"/>
      <c r="GQ97" s="181"/>
      <c r="GY97" s="181"/>
      <c r="HG97" s="181"/>
      <c r="HO97" s="181"/>
      <c r="HW97" s="181"/>
      <c r="IE97" s="181"/>
      <c r="IM97" s="181"/>
      <c r="IU97" s="181"/>
    </row>
    <row r="98" spans="7:255" ht="19.5" customHeight="1">
      <c r="G98" s="181"/>
      <c r="O98" s="181"/>
      <c r="W98" s="181"/>
      <c r="AE98" s="181"/>
      <c r="AM98" s="181"/>
      <c r="AU98" s="181"/>
      <c r="BC98" s="181"/>
      <c r="BK98" s="181"/>
      <c r="BS98" s="181"/>
      <c r="CA98" s="181"/>
      <c r="CI98" s="181"/>
      <c r="CQ98" s="181"/>
      <c r="CY98" s="181"/>
      <c r="DG98" s="181"/>
      <c r="DO98" s="181"/>
      <c r="DW98" s="181"/>
      <c r="EE98" s="181"/>
      <c r="EM98" s="181"/>
      <c r="EU98" s="181"/>
      <c r="FC98" s="181"/>
      <c r="FK98" s="181"/>
      <c r="FS98" s="181"/>
      <c r="GA98" s="181"/>
      <c r="GI98" s="181"/>
      <c r="GQ98" s="181"/>
      <c r="GY98" s="181"/>
      <c r="HG98" s="181"/>
      <c r="HO98" s="181"/>
      <c r="HW98" s="181"/>
      <c r="IE98" s="181"/>
      <c r="IM98" s="181"/>
      <c r="IU98" s="181"/>
    </row>
    <row r="99" spans="7:255" ht="19.5" customHeight="1">
      <c r="G99" s="181"/>
      <c r="O99" s="181"/>
      <c r="W99" s="181"/>
      <c r="AE99" s="181"/>
      <c r="AM99" s="181"/>
      <c r="AU99" s="181"/>
      <c r="BC99" s="181"/>
      <c r="BK99" s="181"/>
      <c r="BS99" s="181"/>
      <c r="CA99" s="181"/>
      <c r="CI99" s="181"/>
      <c r="CQ99" s="181"/>
      <c r="CY99" s="181"/>
      <c r="DG99" s="181"/>
      <c r="DO99" s="181"/>
      <c r="DW99" s="181"/>
      <c r="EE99" s="181"/>
      <c r="EM99" s="181"/>
      <c r="EU99" s="181"/>
      <c r="FC99" s="181"/>
      <c r="FK99" s="181"/>
      <c r="FS99" s="181"/>
      <c r="GA99" s="181"/>
      <c r="GI99" s="181"/>
      <c r="GQ99" s="181"/>
      <c r="GY99" s="181"/>
      <c r="HG99" s="181"/>
      <c r="HO99" s="181"/>
      <c r="HW99" s="181"/>
      <c r="IE99" s="181"/>
      <c r="IM99" s="181"/>
      <c r="IU99" s="181"/>
    </row>
    <row r="100" spans="7:255" ht="19.5" customHeight="1">
      <c r="G100" s="181"/>
      <c r="O100" s="181"/>
      <c r="W100" s="181"/>
      <c r="AE100" s="181"/>
      <c r="AM100" s="181"/>
      <c r="AU100" s="181"/>
      <c r="BC100" s="181"/>
      <c r="BK100" s="181"/>
      <c r="BS100" s="181"/>
      <c r="CA100" s="181"/>
      <c r="CI100" s="181"/>
      <c r="CQ100" s="181"/>
      <c r="CY100" s="181"/>
      <c r="DG100" s="181"/>
      <c r="DO100" s="181"/>
      <c r="DW100" s="181"/>
      <c r="EE100" s="181"/>
      <c r="EM100" s="181"/>
      <c r="EU100" s="181"/>
      <c r="FC100" s="181"/>
      <c r="FK100" s="181"/>
      <c r="FS100" s="181"/>
      <c r="GA100" s="181"/>
      <c r="GI100" s="181"/>
      <c r="GQ100" s="181"/>
      <c r="GY100" s="181"/>
      <c r="HG100" s="181"/>
      <c r="HO100" s="181"/>
      <c r="HW100" s="181"/>
      <c r="IE100" s="181"/>
      <c r="IM100" s="181"/>
      <c r="IU100" s="181"/>
    </row>
    <row r="101" spans="7:255" ht="19.5" customHeight="1">
      <c r="G101" s="181"/>
      <c r="O101" s="181"/>
      <c r="W101" s="181"/>
      <c r="AE101" s="181"/>
      <c r="AM101" s="181"/>
      <c r="AU101" s="181"/>
      <c r="BC101" s="181"/>
      <c r="BK101" s="181"/>
      <c r="BS101" s="181"/>
      <c r="CA101" s="181"/>
      <c r="CI101" s="181"/>
      <c r="CQ101" s="181"/>
      <c r="CY101" s="181"/>
      <c r="DG101" s="181"/>
      <c r="DO101" s="181"/>
      <c r="DW101" s="181"/>
      <c r="EE101" s="181"/>
      <c r="EM101" s="181"/>
      <c r="EU101" s="181"/>
      <c r="FC101" s="181"/>
      <c r="FK101" s="181"/>
      <c r="FS101" s="181"/>
      <c r="GA101" s="181"/>
      <c r="GI101" s="181"/>
      <c r="GQ101" s="181"/>
      <c r="GY101" s="181"/>
      <c r="HG101" s="181"/>
      <c r="HO101" s="181"/>
      <c r="HW101" s="181"/>
      <c r="IE101" s="181"/>
      <c r="IM101" s="181"/>
      <c r="IU101" s="181"/>
    </row>
    <row r="102" spans="7:255" ht="19.5" customHeight="1">
      <c r="G102" s="181"/>
      <c r="O102" s="181"/>
      <c r="W102" s="181"/>
      <c r="AE102" s="181"/>
      <c r="AM102" s="181"/>
      <c r="AU102" s="181"/>
      <c r="BC102" s="181"/>
      <c r="BK102" s="181"/>
      <c r="BS102" s="181"/>
      <c r="CA102" s="181"/>
      <c r="CI102" s="181"/>
      <c r="CQ102" s="181"/>
      <c r="CY102" s="181"/>
      <c r="DG102" s="181"/>
      <c r="DO102" s="181"/>
      <c r="DW102" s="181"/>
      <c r="EE102" s="181"/>
      <c r="EM102" s="181"/>
      <c r="EU102" s="181"/>
      <c r="FC102" s="181"/>
      <c r="FK102" s="181"/>
      <c r="FS102" s="181"/>
      <c r="GA102" s="181"/>
      <c r="GI102" s="181"/>
      <c r="GQ102" s="181"/>
      <c r="GY102" s="181"/>
      <c r="HG102" s="181"/>
      <c r="HO102" s="181"/>
      <c r="HW102" s="181"/>
      <c r="IE102" s="181"/>
      <c r="IM102" s="181"/>
      <c r="IU102" s="181"/>
    </row>
    <row r="103" spans="7:255" ht="19.5" customHeight="1">
      <c r="G103" s="181"/>
      <c r="O103" s="181"/>
      <c r="W103" s="181"/>
      <c r="AE103" s="181"/>
      <c r="AM103" s="181"/>
      <c r="AU103" s="181"/>
      <c r="BC103" s="181"/>
      <c r="BK103" s="181"/>
      <c r="BS103" s="181"/>
      <c r="CA103" s="181"/>
      <c r="CI103" s="181"/>
      <c r="CQ103" s="181"/>
      <c r="CY103" s="181"/>
      <c r="DG103" s="181"/>
      <c r="DO103" s="181"/>
      <c r="DW103" s="181"/>
      <c r="EE103" s="181"/>
      <c r="EM103" s="181"/>
      <c r="EU103" s="181"/>
      <c r="FC103" s="181"/>
      <c r="FK103" s="181"/>
      <c r="FS103" s="181"/>
      <c r="GA103" s="181"/>
      <c r="GI103" s="181"/>
      <c r="GQ103" s="181"/>
      <c r="GY103" s="181"/>
      <c r="HG103" s="181"/>
      <c r="HO103" s="181"/>
      <c r="HW103" s="181"/>
      <c r="IE103" s="181"/>
      <c r="IM103" s="181"/>
      <c r="IU103" s="181"/>
    </row>
    <row r="104" spans="7:255" ht="19.5" customHeight="1">
      <c r="G104" s="181"/>
      <c r="O104" s="181"/>
      <c r="W104" s="181"/>
      <c r="AE104" s="181"/>
      <c r="AM104" s="181"/>
      <c r="AU104" s="181"/>
      <c r="BC104" s="181"/>
      <c r="BK104" s="181"/>
      <c r="BS104" s="181"/>
      <c r="CA104" s="181"/>
      <c r="CI104" s="181"/>
      <c r="CQ104" s="181"/>
      <c r="CY104" s="181"/>
      <c r="DG104" s="181"/>
      <c r="DO104" s="181"/>
      <c r="DW104" s="181"/>
      <c r="EE104" s="181"/>
      <c r="EM104" s="181"/>
      <c r="EU104" s="181"/>
      <c r="FC104" s="181"/>
      <c r="FK104" s="181"/>
      <c r="FS104" s="181"/>
      <c r="GA104" s="181"/>
      <c r="GI104" s="181"/>
      <c r="GQ104" s="181"/>
      <c r="GY104" s="181"/>
      <c r="HG104" s="181"/>
      <c r="HO104" s="181"/>
      <c r="HW104" s="181"/>
      <c r="IE104" s="181"/>
      <c r="IM104" s="181"/>
      <c r="IU104" s="181"/>
    </row>
    <row r="105" spans="7:255" ht="19.5" customHeight="1">
      <c r="G105" s="181"/>
      <c r="O105" s="181"/>
      <c r="W105" s="181"/>
      <c r="AE105" s="181"/>
      <c r="AM105" s="181"/>
      <c r="AU105" s="181"/>
      <c r="BC105" s="181"/>
      <c r="BK105" s="181"/>
      <c r="BS105" s="181"/>
      <c r="CA105" s="181"/>
      <c r="CI105" s="181"/>
      <c r="CQ105" s="181"/>
      <c r="CY105" s="181"/>
      <c r="DG105" s="181"/>
      <c r="DO105" s="181"/>
      <c r="DW105" s="181"/>
      <c r="EE105" s="181"/>
      <c r="EM105" s="181"/>
      <c r="EU105" s="181"/>
      <c r="FC105" s="181"/>
      <c r="FK105" s="181"/>
      <c r="FS105" s="181"/>
      <c r="GA105" s="181"/>
      <c r="GI105" s="181"/>
      <c r="GQ105" s="181"/>
      <c r="GY105" s="181"/>
      <c r="HG105" s="181"/>
      <c r="HO105" s="181"/>
      <c r="HW105" s="181"/>
      <c r="IE105" s="181"/>
      <c r="IM105" s="181"/>
      <c r="IU105" s="181"/>
    </row>
    <row r="106" spans="7:255" ht="19.5" customHeight="1">
      <c r="G106" s="181"/>
      <c r="O106" s="181"/>
      <c r="W106" s="181"/>
      <c r="AE106" s="181"/>
      <c r="AM106" s="181"/>
      <c r="AU106" s="181"/>
      <c r="BC106" s="181"/>
      <c r="BK106" s="181"/>
      <c r="BS106" s="181"/>
      <c r="CA106" s="181"/>
      <c r="CI106" s="181"/>
      <c r="CQ106" s="181"/>
      <c r="CY106" s="181"/>
      <c r="DG106" s="181"/>
      <c r="DO106" s="181"/>
      <c r="DW106" s="181"/>
      <c r="EE106" s="181"/>
      <c r="EM106" s="181"/>
      <c r="EU106" s="181"/>
      <c r="FC106" s="181"/>
      <c r="FK106" s="181"/>
      <c r="FS106" s="181"/>
      <c r="GA106" s="181"/>
      <c r="GI106" s="181"/>
      <c r="GQ106" s="181"/>
      <c r="GY106" s="181"/>
      <c r="HG106" s="181"/>
      <c r="HO106" s="181"/>
      <c r="HW106" s="181"/>
      <c r="IE106" s="181"/>
      <c r="IM106" s="181"/>
      <c r="IU106" s="181"/>
    </row>
    <row r="107" spans="7:255" ht="19.5" customHeight="1">
      <c r="G107" s="181"/>
      <c r="O107" s="181"/>
      <c r="W107" s="181"/>
      <c r="AE107" s="181"/>
      <c r="AM107" s="181"/>
      <c r="AU107" s="181"/>
      <c r="BC107" s="181"/>
      <c r="BK107" s="181"/>
      <c r="BS107" s="181"/>
      <c r="CA107" s="181"/>
      <c r="CI107" s="181"/>
      <c r="CQ107" s="181"/>
      <c r="CY107" s="181"/>
      <c r="DG107" s="181"/>
      <c r="DO107" s="181"/>
      <c r="DW107" s="181"/>
      <c r="EE107" s="181"/>
      <c r="EM107" s="181"/>
      <c r="EU107" s="181"/>
      <c r="FC107" s="181"/>
      <c r="FK107" s="181"/>
      <c r="FS107" s="181"/>
      <c r="GA107" s="181"/>
      <c r="GI107" s="181"/>
      <c r="GQ107" s="181"/>
      <c r="GY107" s="181"/>
      <c r="HG107" s="181"/>
      <c r="HO107" s="181"/>
      <c r="HW107" s="181"/>
      <c r="IE107" s="181"/>
      <c r="IM107" s="181"/>
      <c r="IU107" s="181"/>
    </row>
    <row r="108" spans="7:255" ht="19.5" customHeight="1">
      <c r="G108" s="181"/>
      <c r="O108" s="181"/>
      <c r="W108" s="181"/>
      <c r="AE108" s="181"/>
      <c r="AM108" s="181"/>
      <c r="AU108" s="181"/>
      <c r="BC108" s="181"/>
      <c r="BK108" s="181"/>
      <c r="BS108" s="181"/>
      <c r="CA108" s="181"/>
      <c r="CI108" s="181"/>
      <c r="CQ108" s="181"/>
      <c r="CY108" s="181"/>
      <c r="DG108" s="181"/>
      <c r="DO108" s="181"/>
      <c r="DW108" s="181"/>
      <c r="EE108" s="181"/>
      <c r="EM108" s="181"/>
      <c r="EU108" s="181"/>
      <c r="FC108" s="181"/>
      <c r="FK108" s="181"/>
      <c r="FS108" s="181"/>
      <c r="GA108" s="181"/>
      <c r="GI108" s="181"/>
      <c r="GQ108" s="181"/>
      <c r="GY108" s="181"/>
      <c r="HG108" s="181"/>
      <c r="HO108" s="181"/>
      <c r="HW108" s="181"/>
      <c r="IE108" s="181"/>
      <c r="IM108" s="181"/>
      <c r="IU108" s="181"/>
    </row>
    <row r="109" spans="7:255" ht="19.5" customHeight="1">
      <c r="G109" s="181"/>
      <c r="O109" s="181"/>
      <c r="W109" s="181"/>
      <c r="AE109" s="181"/>
      <c r="AM109" s="181"/>
      <c r="AU109" s="181"/>
      <c r="BC109" s="181"/>
      <c r="BK109" s="181"/>
      <c r="BS109" s="181"/>
      <c r="CA109" s="181"/>
      <c r="CI109" s="181"/>
      <c r="CQ109" s="181"/>
      <c r="CY109" s="181"/>
      <c r="DG109" s="181"/>
      <c r="DO109" s="181"/>
      <c r="DW109" s="181"/>
      <c r="EE109" s="181"/>
      <c r="EM109" s="181"/>
      <c r="EU109" s="181"/>
      <c r="FC109" s="181"/>
      <c r="FK109" s="181"/>
      <c r="FS109" s="181"/>
      <c r="GA109" s="181"/>
      <c r="GI109" s="181"/>
      <c r="GQ109" s="181"/>
      <c r="GY109" s="181"/>
      <c r="HG109" s="181"/>
      <c r="HO109" s="181"/>
      <c r="HW109" s="181"/>
      <c r="IE109" s="181"/>
      <c r="IM109" s="181"/>
      <c r="IU109" s="181"/>
    </row>
    <row r="110" spans="7:255" ht="19.5" customHeight="1">
      <c r="G110" s="181"/>
      <c r="O110" s="181"/>
      <c r="W110" s="181"/>
      <c r="AE110" s="181"/>
      <c r="AM110" s="181"/>
      <c r="AU110" s="181"/>
      <c r="BC110" s="181"/>
      <c r="BK110" s="181"/>
      <c r="BS110" s="181"/>
      <c r="CA110" s="181"/>
      <c r="CI110" s="181"/>
      <c r="CQ110" s="181"/>
      <c r="CY110" s="181"/>
      <c r="DG110" s="181"/>
      <c r="DO110" s="181"/>
      <c r="DW110" s="181"/>
      <c r="EE110" s="181"/>
      <c r="EM110" s="181"/>
      <c r="EU110" s="181"/>
      <c r="FC110" s="181"/>
      <c r="FK110" s="181"/>
      <c r="FS110" s="181"/>
      <c r="GA110" s="181"/>
      <c r="GI110" s="181"/>
      <c r="GQ110" s="181"/>
      <c r="GY110" s="181"/>
      <c r="HG110" s="181"/>
      <c r="HO110" s="181"/>
      <c r="HW110" s="181"/>
      <c r="IE110" s="181"/>
      <c r="IM110" s="181"/>
      <c r="IU110" s="181"/>
    </row>
    <row r="111" spans="7:255" ht="19.5" customHeight="1">
      <c r="G111" s="181"/>
      <c r="O111" s="181"/>
      <c r="W111" s="181"/>
      <c r="AE111" s="181"/>
      <c r="AM111" s="181"/>
      <c r="AU111" s="181"/>
      <c r="BC111" s="181"/>
      <c r="BK111" s="181"/>
      <c r="BS111" s="181"/>
      <c r="CA111" s="181"/>
      <c r="CI111" s="181"/>
      <c r="CQ111" s="181"/>
      <c r="CY111" s="181"/>
      <c r="DG111" s="181"/>
      <c r="DO111" s="181"/>
      <c r="DW111" s="181"/>
      <c r="EE111" s="181"/>
      <c r="EM111" s="181"/>
      <c r="EU111" s="181"/>
      <c r="FC111" s="181"/>
      <c r="FK111" s="181"/>
      <c r="FS111" s="181"/>
      <c r="GA111" s="181"/>
      <c r="GI111" s="181"/>
      <c r="GQ111" s="181"/>
      <c r="GY111" s="181"/>
      <c r="HG111" s="181"/>
      <c r="HO111" s="181"/>
      <c r="HW111" s="181"/>
      <c r="IE111" s="181"/>
      <c r="IM111" s="181"/>
      <c r="IU111" s="181"/>
    </row>
    <row r="112" spans="7:255" ht="19.5" customHeight="1">
      <c r="G112" s="181"/>
      <c r="O112" s="181"/>
      <c r="W112" s="181"/>
      <c r="AE112" s="181"/>
      <c r="AM112" s="181"/>
      <c r="AU112" s="181"/>
      <c r="BC112" s="181"/>
      <c r="BK112" s="181"/>
      <c r="BS112" s="181"/>
      <c r="CA112" s="181"/>
      <c r="CI112" s="181"/>
      <c r="CQ112" s="181"/>
      <c r="CY112" s="181"/>
      <c r="DG112" s="181"/>
      <c r="DO112" s="181"/>
      <c r="DW112" s="181"/>
      <c r="EE112" s="181"/>
      <c r="EM112" s="181"/>
      <c r="EU112" s="181"/>
      <c r="FC112" s="181"/>
      <c r="FK112" s="181"/>
      <c r="FS112" s="181"/>
      <c r="GA112" s="181"/>
      <c r="GI112" s="181"/>
      <c r="GQ112" s="181"/>
      <c r="GY112" s="181"/>
      <c r="HG112" s="181"/>
      <c r="HO112" s="181"/>
      <c r="HW112" s="181"/>
      <c r="IE112" s="181"/>
      <c r="IM112" s="181"/>
      <c r="IU112" s="181"/>
    </row>
    <row r="113" spans="7:255" ht="19.5" customHeight="1">
      <c r="G113" s="181"/>
      <c r="O113" s="181"/>
      <c r="W113" s="181"/>
      <c r="AE113" s="181"/>
      <c r="AM113" s="181"/>
      <c r="AU113" s="181"/>
      <c r="BC113" s="181"/>
      <c r="BK113" s="181"/>
      <c r="BS113" s="181"/>
      <c r="CA113" s="181"/>
      <c r="CI113" s="181"/>
      <c r="CQ113" s="181"/>
      <c r="CY113" s="181"/>
      <c r="DG113" s="181"/>
      <c r="DO113" s="181"/>
      <c r="DW113" s="181"/>
      <c r="EE113" s="181"/>
      <c r="EM113" s="181"/>
      <c r="EU113" s="181"/>
      <c r="FC113" s="181"/>
      <c r="FK113" s="181"/>
      <c r="FS113" s="181"/>
      <c r="GA113" s="181"/>
      <c r="GI113" s="181"/>
      <c r="GQ113" s="181"/>
      <c r="GY113" s="181"/>
      <c r="HG113" s="181"/>
      <c r="HO113" s="181"/>
      <c r="HW113" s="181"/>
      <c r="IE113" s="181"/>
      <c r="IM113" s="181"/>
      <c r="IU113" s="181"/>
    </row>
    <row r="114" spans="7:255" ht="19.5" customHeight="1">
      <c r="G114" s="181"/>
      <c r="O114" s="181"/>
      <c r="W114" s="181"/>
      <c r="AE114" s="181"/>
      <c r="AM114" s="181"/>
      <c r="AU114" s="181"/>
      <c r="BC114" s="181"/>
      <c r="BK114" s="181"/>
      <c r="BS114" s="181"/>
      <c r="CA114" s="181"/>
      <c r="CI114" s="181"/>
      <c r="CQ114" s="181"/>
      <c r="CY114" s="181"/>
      <c r="DG114" s="181"/>
      <c r="DO114" s="181"/>
      <c r="DW114" s="181"/>
      <c r="EE114" s="181"/>
      <c r="EM114" s="181"/>
      <c r="EU114" s="181"/>
      <c r="FC114" s="181"/>
      <c r="FK114" s="181"/>
      <c r="FS114" s="181"/>
      <c r="GA114" s="181"/>
      <c r="GI114" s="181"/>
      <c r="GQ114" s="181"/>
      <c r="GY114" s="181"/>
      <c r="HG114" s="181"/>
      <c r="HO114" s="181"/>
      <c r="HW114" s="181"/>
      <c r="IE114" s="181"/>
      <c r="IM114" s="181"/>
      <c r="IU114" s="181"/>
    </row>
    <row r="115" spans="7:255" ht="19.5" customHeight="1">
      <c r="G115" s="181"/>
      <c r="O115" s="181"/>
      <c r="W115" s="181"/>
      <c r="AE115" s="181"/>
      <c r="AM115" s="181"/>
      <c r="AU115" s="181"/>
      <c r="BC115" s="181"/>
      <c r="BK115" s="181"/>
      <c r="BS115" s="181"/>
      <c r="CA115" s="181"/>
      <c r="CI115" s="181"/>
      <c r="CQ115" s="181"/>
      <c r="CY115" s="181"/>
      <c r="DG115" s="181"/>
      <c r="DO115" s="181"/>
      <c r="DW115" s="181"/>
      <c r="EE115" s="181"/>
      <c r="EM115" s="181"/>
      <c r="EU115" s="181"/>
      <c r="FC115" s="181"/>
      <c r="FK115" s="181"/>
      <c r="FS115" s="181"/>
      <c r="GA115" s="181"/>
      <c r="GI115" s="181"/>
      <c r="GQ115" s="181"/>
      <c r="GY115" s="181"/>
      <c r="HG115" s="181"/>
      <c r="HO115" s="181"/>
      <c r="HW115" s="181"/>
      <c r="IE115" s="181"/>
      <c r="IM115" s="181"/>
      <c r="IU115" s="181"/>
    </row>
    <row r="116" spans="7:255" ht="19.5" customHeight="1">
      <c r="G116" s="181"/>
      <c r="O116" s="181"/>
      <c r="W116" s="181"/>
      <c r="AE116" s="181"/>
      <c r="AM116" s="181"/>
      <c r="AU116" s="181"/>
      <c r="BC116" s="181"/>
      <c r="BK116" s="181"/>
      <c r="BS116" s="181"/>
      <c r="CA116" s="181"/>
      <c r="CI116" s="181"/>
      <c r="CQ116" s="181"/>
      <c r="CY116" s="181"/>
      <c r="DG116" s="181"/>
      <c r="DO116" s="181"/>
      <c r="DW116" s="181"/>
      <c r="EE116" s="181"/>
      <c r="EM116" s="181"/>
      <c r="EU116" s="181"/>
      <c r="FC116" s="181"/>
      <c r="FK116" s="181"/>
      <c r="FS116" s="181"/>
      <c r="GA116" s="181"/>
      <c r="GI116" s="181"/>
      <c r="GQ116" s="181"/>
      <c r="GY116" s="181"/>
      <c r="HG116" s="181"/>
      <c r="HO116" s="181"/>
      <c r="HW116" s="181"/>
      <c r="IE116" s="181"/>
      <c r="IM116" s="181"/>
      <c r="IU116" s="181"/>
    </row>
    <row r="117" spans="7:255" ht="19.5" customHeight="1">
      <c r="G117" s="181"/>
      <c r="O117" s="181"/>
      <c r="W117" s="181"/>
      <c r="AE117" s="181"/>
      <c r="AM117" s="181"/>
      <c r="AU117" s="181"/>
      <c r="BC117" s="181"/>
      <c r="BK117" s="181"/>
      <c r="BS117" s="181"/>
      <c r="CA117" s="181"/>
      <c r="CI117" s="181"/>
      <c r="CQ117" s="181"/>
      <c r="CY117" s="181"/>
      <c r="DG117" s="181"/>
      <c r="DO117" s="181"/>
      <c r="DW117" s="181"/>
      <c r="EE117" s="181"/>
      <c r="EM117" s="181"/>
      <c r="EU117" s="181"/>
      <c r="FC117" s="181"/>
      <c r="FK117" s="181"/>
      <c r="FS117" s="181"/>
      <c r="GA117" s="181"/>
      <c r="GI117" s="181"/>
      <c r="GQ117" s="181"/>
      <c r="GY117" s="181"/>
      <c r="HG117" s="181"/>
      <c r="HO117" s="181"/>
      <c r="HW117" s="181"/>
      <c r="IE117" s="181"/>
      <c r="IM117" s="181"/>
      <c r="IU117" s="181"/>
    </row>
    <row r="118" spans="7:255" ht="19.5" customHeight="1">
      <c r="G118" s="181"/>
      <c r="O118" s="181"/>
      <c r="W118" s="181"/>
      <c r="AE118" s="181"/>
      <c r="AM118" s="181"/>
      <c r="AU118" s="181"/>
      <c r="BC118" s="181"/>
      <c r="BK118" s="181"/>
      <c r="BS118" s="181"/>
      <c r="CA118" s="181"/>
      <c r="CI118" s="181"/>
      <c r="CQ118" s="181"/>
      <c r="CY118" s="181"/>
      <c r="DG118" s="181"/>
      <c r="DO118" s="181"/>
      <c r="DW118" s="181"/>
      <c r="EE118" s="181"/>
      <c r="EM118" s="181"/>
      <c r="EU118" s="181"/>
      <c r="FC118" s="181"/>
      <c r="FK118" s="181"/>
      <c r="FS118" s="181"/>
      <c r="GA118" s="181"/>
      <c r="GI118" s="181"/>
      <c r="GQ118" s="181"/>
      <c r="GY118" s="181"/>
      <c r="HG118" s="181"/>
      <c r="HO118" s="181"/>
      <c r="HW118" s="181"/>
      <c r="IE118" s="181"/>
      <c r="IM118" s="181"/>
      <c r="IU118" s="181"/>
    </row>
    <row r="119" spans="7:255" ht="19.5" customHeight="1">
      <c r="G119" s="181"/>
      <c r="O119" s="181"/>
      <c r="W119" s="181"/>
      <c r="AE119" s="181"/>
      <c r="AM119" s="181"/>
      <c r="AU119" s="181"/>
      <c r="BC119" s="181"/>
      <c r="BK119" s="181"/>
      <c r="BS119" s="181"/>
      <c r="CA119" s="181"/>
      <c r="CI119" s="181"/>
      <c r="CQ119" s="181"/>
      <c r="CY119" s="181"/>
      <c r="DG119" s="181"/>
      <c r="DO119" s="181"/>
      <c r="DW119" s="181"/>
      <c r="EE119" s="181"/>
      <c r="EM119" s="181"/>
      <c r="EU119" s="181"/>
      <c r="FC119" s="181"/>
      <c r="FK119" s="181"/>
      <c r="FS119" s="181"/>
      <c r="GA119" s="181"/>
      <c r="GI119" s="181"/>
      <c r="GQ119" s="181"/>
      <c r="GY119" s="181"/>
      <c r="HG119" s="181"/>
      <c r="HO119" s="181"/>
      <c r="HW119" s="181"/>
      <c r="IE119" s="181"/>
      <c r="IM119" s="181"/>
      <c r="IU119" s="181"/>
    </row>
    <row r="120" spans="7:255" ht="19.5" customHeight="1">
      <c r="G120" s="181"/>
      <c r="O120" s="181"/>
      <c r="W120" s="181"/>
      <c r="AE120" s="181"/>
      <c r="AM120" s="181"/>
      <c r="AU120" s="181"/>
      <c r="BC120" s="181"/>
      <c r="BK120" s="181"/>
      <c r="BS120" s="181"/>
      <c r="CA120" s="181"/>
      <c r="CI120" s="181"/>
      <c r="CQ120" s="181"/>
      <c r="CY120" s="181"/>
      <c r="DG120" s="181"/>
      <c r="DO120" s="181"/>
      <c r="DW120" s="181"/>
      <c r="EE120" s="181"/>
      <c r="EM120" s="181"/>
      <c r="EU120" s="181"/>
      <c r="FC120" s="181"/>
      <c r="FK120" s="181"/>
      <c r="FS120" s="181"/>
      <c r="GA120" s="181"/>
      <c r="GI120" s="181"/>
      <c r="GQ120" s="181"/>
      <c r="GY120" s="181"/>
      <c r="HG120" s="181"/>
      <c r="HO120" s="181"/>
      <c r="HW120" s="181"/>
      <c r="IE120" s="181"/>
      <c r="IM120" s="181"/>
      <c r="IU120" s="181"/>
    </row>
    <row r="121" spans="7:255" ht="19.5" customHeight="1">
      <c r="G121" s="181"/>
      <c r="O121" s="181"/>
      <c r="W121" s="181"/>
      <c r="AE121" s="181"/>
      <c r="AM121" s="181"/>
      <c r="AU121" s="181"/>
      <c r="BC121" s="181"/>
      <c r="BK121" s="181"/>
      <c r="BS121" s="181"/>
      <c r="CA121" s="181"/>
      <c r="CI121" s="181"/>
      <c r="CQ121" s="181"/>
      <c r="CY121" s="181"/>
      <c r="DG121" s="181"/>
      <c r="DO121" s="181"/>
      <c r="DW121" s="181"/>
      <c r="EE121" s="181"/>
      <c r="EM121" s="181"/>
      <c r="EU121" s="181"/>
      <c r="FC121" s="181"/>
      <c r="FK121" s="181"/>
      <c r="FS121" s="181"/>
      <c r="GA121" s="181"/>
      <c r="GI121" s="181"/>
      <c r="GQ121" s="181"/>
      <c r="GY121" s="181"/>
      <c r="HG121" s="181"/>
      <c r="HO121" s="181"/>
      <c r="HW121" s="181"/>
      <c r="IE121" s="181"/>
      <c r="IM121" s="181"/>
      <c r="IU121" s="181"/>
    </row>
    <row r="122" spans="7:255" ht="19.5" customHeight="1">
      <c r="G122" s="181"/>
      <c r="O122" s="181"/>
      <c r="W122" s="181"/>
      <c r="AE122" s="181"/>
      <c r="AM122" s="181"/>
      <c r="AU122" s="181"/>
      <c r="BC122" s="181"/>
      <c r="BK122" s="181"/>
      <c r="BS122" s="181"/>
      <c r="CA122" s="181"/>
      <c r="CI122" s="181"/>
      <c r="CQ122" s="181"/>
      <c r="CY122" s="181"/>
      <c r="DG122" s="181"/>
      <c r="DO122" s="181"/>
      <c r="DW122" s="181"/>
      <c r="EE122" s="181"/>
      <c r="EM122" s="181"/>
      <c r="EU122" s="181"/>
      <c r="FC122" s="181"/>
      <c r="FK122" s="181"/>
      <c r="FS122" s="181"/>
      <c r="GA122" s="181"/>
      <c r="GI122" s="181"/>
      <c r="GQ122" s="181"/>
      <c r="GY122" s="181"/>
      <c r="HG122" s="181"/>
      <c r="HO122" s="181"/>
      <c r="HW122" s="181"/>
      <c r="IE122" s="181"/>
      <c r="IM122" s="181"/>
      <c r="IU122" s="181"/>
    </row>
    <row r="123" spans="7:255" ht="19.5" customHeight="1">
      <c r="G123" s="181"/>
      <c r="O123" s="181"/>
      <c r="W123" s="181"/>
      <c r="AE123" s="181"/>
      <c r="AM123" s="181"/>
      <c r="AU123" s="181"/>
      <c r="BC123" s="181"/>
      <c r="BK123" s="181"/>
      <c r="BS123" s="181"/>
      <c r="CA123" s="181"/>
      <c r="CI123" s="181"/>
      <c r="CQ123" s="181"/>
      <c r="CY123" s="181"/>
      <c r="DG123" s="181"/>
      <c r="DO123" s="181"/>
      <c r="DW123" s="181"/>
      <c r="EE123" s="181"/>
      <c r="EM123" s="181"/>
      <c r="EU123" s="181"/>
      <c r="FC123" s="181"/>
      <c r="FK123" s="181"/>
      <c r="FS123" s="181"/>
      <c r="GA123" s="181"/>
      <c r="GI123" s="181"/>
      <c r="GQ123" s="181"/>
      <c r="GY123" s="181"/>
      <c r="HG123" s="181"/>
      <c r="HO123" s="181"/>
      <c r="HW123" s="181"/>
      <c r="IE123" s="181"/>
      <c r="IM123" s="181"/>
      <c r="IU123" s="181"/>
    </row>
    <row r="124" spans="7:255" ht="19.5" customHeight="1">
      <c r="G124" s="181"/>
      <c r="O124" s="181"/>
      <c r="W124" s="181"/>
      <c r="AE124" s="181"/>
      <c r="AM124" s="181"/>
      <c r="AU124" s="181"/>
      <c r="BC124" s="181"/>
      <c r="BK124" s="181"/>
      <c r="BS124" s="181"/>
      <c r="CA124" s="181"/>
      <c r="CI124" s="181"/>
      <c r="CQ124" s="181"/>
      <c r="CY124" s="181"/>
      <c r="DG124" s="181"/>
      <c r="DO124" s="181"/>
      <c r="DW124" s="181"/>
      <c r="EE124" s="181"/>
      <c r="EM124" s="181"/>
      <c r="EU124" s="181"/>
      <c r="FC124" s="181"/>
      <c r="FK124" s="181"/>
      <c r="FS124" s="181"/>
      <c r="GA124" s="181"/>
      <c r="GI124" s="181"/>
      <c r="GQ124" s="181"/>
      <c r="GY124" s="181"/>
      <c r="HG124" s="181"/>
      <c r="HO124" s="181"/>
      <c r="HW124" s="181"/>
      <c r="IE124" s="181"/>
      <c r="IM124" s="181"/>
      <c r="IU124" s="181"/>
    </row>
    <row r="125" spans="7:255" ht="19.5" customHeight="1">
      <c r="G125" s="181"/>
      <c r="O125" s="181"/>
      <c r="W125" s="181"/>
      <c r="AE125" s="181"/>
      <c r="AM125" s="181"/>
      <c r="AU125" s="181"/>
      <c r="BC125" s="181"/>
      <c r="BK125" s="181"/>
      <c r="BS125" s="181"/>
      <c r="CA125" s="181"/>
      <c r="CI125" s="181"/>
      <c r="CQ125" s="181"/>
      <c r="CY125" s="181"/>
      <c r="DG125" s="181"/>
      <c r="DO125" s="181"/>
      <c r="DW125" s="181"/>
      <c r="EE125" s="181"/>
      <c r="EM125" s="181"/>
      <c r="EU125" s="181"/>
      <c r="FC125" s="181"/>
      <c r="FK125" s="181"/>
      <c r="FS125" s="181"/>
      <c r="GA125" s="181"/>
      <c r="GI125" s="181"/>
      <c r="GQ125" s="181"/>
      <c r="GY125" s="181"/>
      <c r="HG125" s="181"/>
      <c r="HO125" s="181"/>
      <c r="HW125" s="181"/>
      <c r="IE125" s="181"/>
      <c r="IM125" s="181"/>
      <c r="IU125" s="181"/>
    </row>
    <row r="126" spans="7:255" ht="19.5" customHeight="1">
      <c r="G126" s="181"/>
      <c r="O126" s="181"/>
      <c r="W126" s="181"/>
      <c r="AE126" s="181"/>
      <c r="AM126" s="181"/>
      <c r="AU126" s="181"/>
      <c r="BC126" s="181"/>
      <c r="BK126" s="181"/>
      <c r="BS126" s="181"/>
      <c r="CA126" s="181"/>
      <c r="CI126" s="181"/>
      <c r="CQ126" s="181"/>
      <c r="CY126" s="181"/>
      <c r="DG126" s="181"/>
      <c r="DO126" s="181"/>
      <c r="DW126" s="181"/>
      <c r="EE126" s="181"/>
      <c r="EM126" s="181"/>
      <c r="EU126" s="181"/>
      <c r="FC126" s="181"/>
      <c r="FK126" s="181"/>
      <c r="FS126" s="181"/>
      <c r="GA126" s="181"/>
      <c r="GI126" s="181"/>
      <c r="GQ126" s="181"/>
      <c r="GY126" s="181"/>
      <c r="HG126" s="181"/>
      <c r="HO126" s="181"/>
      <c r="HW126" s="181"/>
      <c r="IE126" s="181"/>
      <c r="IM126" s="181"/>
      <c r="IU126" s="181"/>
    </row>
    <row r="127" spans="7:255" ht="19.5" customHeight="1">
      <c r="G127" s="181"/>
      <c r="O127" s="181"/>
      <c r="W127" s="181"/>
      <c r="AE127" s="181"/>
      <c r="AM127" s="181"/>
      <c r="AU127" s="181"/>
      <c r="BC127" s="181"/>
      <c r="BK127" s="181"/>
      <c r="BS127" s="181"/>
      <c r="CA127" s="181"/>
      <c r="CI127" s="181"/>
      <c r="CQ127" s="181"/>
      <c r="CY127" s="181"/>
      <c r="DG127" s="181"/>
      <c r="DO127" s="181"/>
      <c r="DW127" s="181"/>
      <c r="EE127" s="181"/>
      <c r="EM127" s="181"/>
      <c r="EU127" s="181"/>
      <c r="FC127" s="181"/>
      <c r="FK127" s="181"/>
      <c r="FS127" s="181"/>
      <c r="GA127" s="181"/>
      <c r="GI127" s="181"/>
      <c r="GQ127" s="181"/>
      <c r="GY127" s="181"/>
      <c r="HG127" s="181"/>
      <c r="HO127" s="181"/>
      <c r="HW127" s="181"/>
      <c r="IE127" s="181"/>
      <c r="IM127" s="181"/>
      <c r="IU127" s="181"/>
    </row>
    <row r="128" spans="7:255" ht="19.5" customHeight="1">
      <c r="G128" s="181"/>
      <c r="O128" s="181"/>
      <c r="W128" s="181"/>
      <c r="AE128" s="181"/>
      <c r="AM128" s="181"/>
      <c r="AU128" s="181"/>
      <c r="BC128" s="181"/>
      <c r="BK128" s="181"/>
      <c r="BS128" s="181"/>
      <c r="CA128" s="181"/>
      <c r="CI128" s="181"/>
      <c r="CQ128" s="181"/>
      <c r="CY128" s="181"/>
      <c r="DG128" s="181"/>
      <c r="DO128" s="181"/>
      <c r="DW128" s="181"/>
      <c r="EE128" s="181"/>
      <c r="EM128" s="181"/>
      <c r="EU128" s="181"/>
      <c r="FC128" s="181"/>
      <c r="FK128" s="181"/>
      <c r="FS128" s="181"/>
      <c r="GA128" s="181"/>
      <c r="GI128" s="181"/>
      <c r="GQ128" s="181"/>
      <c r="GY128" s="181"/>
      <c r="HG128" s="181"/>
      <c r="HO128" s="181"/>
      <c r="HW128" s="181"/>
      <c r="IE128" s="181"/>
      <c r="IM128" s="181"/>
      <c r="IU128" s="181"/>
    </row>
    <row r="129" spans="7:255" ht="19.5" customHeight="1">
      <c r="G129" s="181"/>
      <c r="O129" s="181"/>
      <c r="W129" s="181"/>
      <c r="AE129" s="181"/>
      <c r="AM129" s="181"/>
      <c r="AU129" s="181"/>
      <c r="BC129" s="181"/>
      <c r="BK129" s="181"/>
      <c r="BS129" s="181"/>
      <c r="CA129" s="181"/>
      <c r="CI129" s="181"/>
      <c r="CQ129" s="181"/>
      <c r="CY129" s="181"/>
      <c r="DG129" s="181"/>
      <c r="DO129" s="181"/>
      <c r="DW129" s="181"/>
      <c r="EE129" s="181"/>
      <c r="EM129" s="181"/>
      <c r="EU129" s="181"/>
      <c r="FC129" s="181"/>
      <c r="FK129" s="181"/>
      <c r="FS129" s="181"/>
      <c r="GA129" s="181"/>
      <c r="GI129" s="181"/>
      <c r="GQ129" s="181"/>
      <c r="GY129" s="181"/>
      <c r="HG129" s="181"/>
      <c r="HO129" s="181"/>
      <c r="HW129" s="181"/>
      <c r="IE129" s="181"/>
      <c r="IM129" s="181"/>
      <c r="IU129" s="181"/>
    </row>
    <row r="130" spans="7:255" ht="19.5" customHeight="1">
      <c r="G130" s="181"/>
      <c r="O130" s="181"/>
      <c r="W130" s="181"/>
      <c r="AE130" s="181"/>
      <c r="AM130" s="181"/>
      <c r="AU130" s="181"/>
      <c r="BC130" s="181"/>
      <c r="BK130" s="181"/>
      <c r="BS130" s="181"/>
      <c r="CA130" s="181"/>
      <c r="CI130" s="181"/>
      <c r="CQ130" s="181"/>
      <c r="CY130" s="181"/>
      <c r="DG130" s="181"/>
      <c r="DO130" s="181"/>
      <c r="DW130" s="181"/>
      <c r="EE130" s="181"/>
      <c r="EM130" s="181"/>
      <c r="EU130" s="181"/>
      <c r="FC130" s="181"/>
      <c r="FK130" s="181"/>
      <c r="FS130" s="181"/>
      <c r="GA130" s="181"/>
      <c r="GI130" s="181"/>
      <c r="GQ130" s="181"/>
      <c r="GY130" s="181"/>
      <c r="HG130" s="181"/>
      <c r="HO130" s="181"/>
      <c r="HW130" s="181"/>
      <c r="IE130" s="181"/>
      <c r="IM130" s="181"/>
      <c r="IU130" s="181"/>
    </row>
    <row r="131" spans="7:255" ht="19.5" customHeight="1">
      <c r="G131" s="181"/>
      <c r="O131" s="181"/>
      <c r="W131" s="181"/>
      <c r="AE131" s="181"/>
      <c r="AM131" s="181"/>
      <c r="AU131" s="181"/>
      <c r="BC131" s="181"/>
      <c r="BK131" s="181"/>
      <c r="BS131" s="181"/>
      <c r="CA131" s="181"/>
      <c r="CI131" s="181"/>
      <c r="CQ131" s="181"/>
      <c r="CY131" s="181"/>
      <c r="DG131" s="181"/>
      <c r="DO131" s="181"/>
      <c r="DW131" s="181"/>
      <c r="EE131" s="181"/>
      <c r="EM131" s="181"/>
      <c r="EU131" s="181"/>
      <c r="FC131" s="181"/>
      <c r="FK131" s="181"/>
      <c r="FS131" s="181"/>
      <c r="GA131" s="181"/>
      <c r="GI131" s="181"/>
      <c r="GQ131" s="181"/>
      <c r="GY131" s="181"/>
      <c r="HG131" s="181"/>
      <c r="HO131" s="181"/>
      <c r="HW131" s="181"/>
      <c r="IE131" s="181"/>
      <c r="IM131" s="181"/>
      <c r="IU131" s="181"/>
    </row>
    <row r="132" spans="7:255" ht="19.5" customHeight="1">
      <c r="G132" s="181"/>
      <c r="O132" s="181"/>
      <c r="W132" s="181"/>
      <c r="AE132" s="181"/>
      <c r="AM132" s="181"/>
      <c r="AU132" s="181"/>
      <c r="BC132" s="181"/>
      <c r="BK132" s="181"/>
      <c r="BS132" s="181"/>
      <c r="CA132" s="181"/>
      <c r="CI132" s="181"/>
      <c r="CQ132" s="181"/>
      <c r="CY132" s="181"/>
      <c r="DG132" s="181"/>
      <c r="DO132" s="181"/>
      <c r="DW132" s="181"/>
      <c r="EE132" s="181"/>
      <c r="EM132" s="181"/>
      <c r="EU132" s="181"/>
      <c r="FC132" s="181"/>
      <c r="FK132" s="181"/>
      <c r="FS132" s="181"/>
      <c r="GA132" s="181"/>
      <c r="GI132" s="181"/>
      <c r="GQ132" s="181"/>
      <c r="GY132" s="181"/>
      <c r="HG132" s="181"/>
      <c r="HO132" s="181"/>
      <c r="HW132" s="181"/>
      <c r="IE132" s="181"/>
      <c r="IM132" s="181"/>
      <c r="IU132" s="181"/>
    </row>
    <row r="133" spans="7:255" ht="19.5" customHeight="1">
      <c r="G133" s="181"/>
      <c r="O133" s="181"/>
      <c r="W133" s="181"/>
      <c r="AE133" s="181"/>
      <c r="AM133" s="181"/>
      <c r="AU133" s="181"/>
      <c r="BC133" s="181"/>
      <c r="BK133" s="181"/>
      <c r="BS133" s="181"/>
      <c r="CA133" s="181"/>
      <c r="CI133" s="181"/>
      <c r="CQ133" s="181"/>
      <c r="CY133" s="181"/>
      <c r="DG133" s="181"/>
      <c r="DO133" s="181"/>
      <c r="DW133" s="181"/>
      <c r="EE133" s="181"/>
      <c r="EM133" s="181"/>
      <c r="EU133" s="181"/>
      <c r="FC133" s="181"/>
      <c r="FK133" s="181"/>
      <c r="FS133" s="181"/>
      <c r="GA133" s="181"/>
      <c r="GI133" s="181"/>
      <c r="GQ133" s="181"/>
      <c r="GY133" s="181"/>
      <c r="HG133" s="181"/>
      <c r="HO133" s="181"/>
      <c r="HW133" s="181"/>
      <c r="IE133" s="181"/>
      <c r="IM133" s="181"/>
      <c r="IU133" s="181"/>
    </row>
    <row r="134" spans="7:255" ht="19.5" customHeight="1">
      <c r="G134" s="181"/>
      <c r="O134" s="181"/>
      <c r="W134" s="181"/>
      <c r="AE134" s="181"/>
      <c r="AM134" s="181"/>
      <c r="AU134" s="181"/>
      <c r="BC134" s="181"/>
      <c r="BK134" s="181"/>
      <c r="BS134" s="181"/>
      <c r="CA134" s="181"/>
      <c r="CI134" s="181"/>
      <c r="CQ134" s="181"/>
      <c r="CY134" s="181"/>
      <c r="DG134" s="181"/>
      <c r="DO134" s="181"/>
      <c r="DW134" s="181"/>
      <c r="EE134" s="181"/>
      <c r="EM134" s="181"/>
      <c r="EU134" s="181"/>
      <c r="FC134" s="181"/>
      <c r="FK134" s="181"/>
      <c r="FS134" s="181"/>
      <c r="GA134" s="181"/>
      <c r="GI134" s="181"/>
      <c r="GQ134" s="181"/>
      <c r="GY134" s="181"/>
      <c r="HG134" s="181"/>
      <c r="HO134" s="181"/>
      <c r="HW134" s="181"/>
      <c r="IE134" s="181"/>
      <c r="IM134" s="181"/>
      <c r="IU134" s="181"/>
    </row>
    <row r="135" spans="7:255" ht="19.5" customHeight="1">
      <c r="G135" s="181"/>
      <c r="O135" s="181"/>
      <c r="W135" s="181"/>
      <c r="AE135" s="181"/>
      <c r="AM135" s="181"/>
      <c r="AU135" s="181"/>
      <c r="BC135" s="181"/>
      <c r="BK135" s="181"/>
      <c r="BS135" s="181"/>
      <c r="CA135" s="181"/>
      <c r="CI135" s="181"/>
      <c r="CQ135" s="181"/>
      <c r="CY135" s="181"/>
      <c r="DG135" s="181"/>
      <c r="DO135" s="181"/>
      <c r="DW135" s="181"/>
      <c r="EE135" s="181"/>
      <c r="EM135" s="181"/>
      <c r="EU135" s="181"/>
      <c r="FC135" s="181"/>
      <c r="FK135" s="181"/>
      <c r="FS135" s="181"/>
      <c r="GA135" s="181"/>
      <c r="GI135" s="181"/>
      <c r="GQ135" s="181"/>
      <c r="GY135" s="181"/>
      <c r="HG135" s="181"/>
      <c r="HO135" s="181"/>
      <c r="HW135" s="181"/>
      <c r="IE135" s="181"/>
      <c r="IM135" s="181"/>
      <c r="IU135" s="181"/>
    </row>
    <row r="136" spans="7:255" ht="19.5" customHeight="1">
      <c r="G136" s="181"/>
      <c r="O136" s="181"/>
      <c r="W136" s="181"/>
      <c r="AE136" s="181"/>
      <c r="AM136" s="181"/>
      <c r="AU136" s="181"/>
      <c r="BC136" s="181"/>
      <c r="BK136" s="181"/>
      <c r="BS136" s="181"/>
      <c r="CA136" s="181"/>
      <c r="CI136" s="181"/>
      <c r="CQ136" s="181"/>
      <c r="CY136" s="181"/>
      <c r="DG136" s="181"/>
      <c r="DO136" s="181"/>
      <c r="DW136" s="181"/>
      <c r="EE136" s="181"/>
      <c r="EM136" s="181"/>
      <c r="EU136" s="181"/>
      <c r="FC136" s="181"/>
      <c r="FK136" s="181"/>
      <c r="FS136" s="181"/>
      <c r="GA136" s="181"/>
      <c r="GI136" s="181"/>
      <c r="GQ136" s="181"/>
      <c r="GY136" s="181"/>
      <c r="HG136" s="181"/>
      <c r="HO136" s="181"/>
      <c r="HW136" s="181"/>
      <c r="IE136" s="181"/>
      <c r="IM136" s="181"/>
      <c r="IU136" s="181"/>
    </row>
    <row r="137" spans="7:255" ht="19.5" customHeight="1">
      <c r="G137" s="181"/>
      <c r="O137" s="181"/>
      <c r="W137" s="181"/>
      <c r="AE137" s="181"/>
      <c r="AM137" s="181"/>
      <c r="AU137" s="181"/>
      <c r="BC137" s="181"/>
      <c r="BK137" s="181"/>
      <c r="BS137" s="181"/>
      <c r="CA137" s="181"/>
      <c r="CI137" s="181"/>
      <c r="CQ137" s="181"/>
      <c r="CY137" s="181"/>
      <c r="DG137" s="181"/>
      <c r="DO137" s="181"/>
      <c r="DW137" s="181"/>
      <c r="EE137" s="181"/>
      <c r="EM137" s="181"/>
      <c r="EU137" s="181"/>
      <c r="FC137" s="181"/>
      <c r="FK137" s="181"/>
      <c r="FS137" s="181"/>
      <c r="GA137" s="181"/>
      <c r="GI137" s="181"/>
      <c r="GQ137" s="181"/>
      <c r="GY137" s="181"/>
      <c r="HG137" s="181"/>
      <c r="HO137" s="181"/>
      <c r="HW137" s="181"/>
      <c r="IE137" s="181"/>
      <c r="IM137" s="181"/>
      <c r="IU137" s="181"/>
    </row>
    <row r="138" spans="7:255" ht="19.5" customHeight="1">
      <c r="G138" s="181"/>
      <c r="O138" s="181"/>
      <c r="W138" s="181"/>
      <c r="AE138" s="181"/>
      <c r="AM138" s="181"/>
      <c r="AU138" s="181"/>
      <c r="BC138" s="181"/>
      <c r="BK138" s="181"/>
      <c r="BS138" s="181"/>
      <c r="CA138" s="181"/>
      <c r="CI138" s="181"/>
      <c r="CQ138" s="181"/>
      <c r="CY138" s="181"/>
      <c r="DG138" s="181"/>
      <c r="DO138" s="181"/>
      <c r="DW138" s="181"/>
      <c r="EE138" s="181"/>
      <c r="EM138" s="181"/>
      <c r="EU138" s="181"/>
      <c r="FC138" s="181"/>
      <c r="FK138" s="181"/>
      <c r="FS138" s="181"/>
      <c r="GA138" s="181"/>
      <c r="GI138" s="181"/>
      <c r="GQ138" s="181"/>
      <c r="GY138" s="181"/>
      <c r="HG138" s="181"/>
      <c r="HO138" s="181"/>
      <c r="HW138" s="181"/>
      <c r="IE138" s="181"/>
      <c r="IM138" s="181"/>
      <c r="IU138" s="181"/>
    </row>
    <row r="139" spans="7:255" ht="19.5" customHeight="1">
      <c r="G139" s="181"/>
      <c r="O139" s="181"/>
      <c r="W139" s="181"/>
      <c r="AE139" s="181"/>
      <c r="AM139" s="181"/>
      <c r="AU139" s="181"/>
      <c r="BC139" s="181"/>
      <c r="BK139" s="181"/>
      <c r="BS139" s="181"/>
      <c r="CA139" s="181"/>
      <c r="CI139" s="181"/>
      <c r="CQ139" s="181"/>
      <c r="CY139" s="181"/>
      <c r="DG139" s="181"/>
      <c r="DO139" s="181"/>
      <c r="DW139" s="181"/>
      <c r="EE139" s="181"/>
      <c r="EM139" s="181"/>
      <c r="EU139" s="181"/>
      <c r="FC139" s="181"/>
      <c r="FK139" s="181"/>
      <c r="FS139" s="181"/>
      <c r="GA139" s="181"/>
      <c r="GI139" s="181"/>
      <c r="GQ139" s="181"/>
      <c r="GY139" s="181"/>
      <c r="HG139" s="181"/>
      <c r="HO139" s="181"/>
      <c r="HW139" s="181"/>
      <c r="IE139" s="181"/>
      <c r="IM139" s="181"/>
      <c r="IU139" s="181"/>
    </row>
    <row r="140" spans="7:255" ht="19.5" customHeight="1">
      <c r="G140" s="181"/>
      <c r="O140" s="181"/>
      <c r="W140" s="181"/>
      <c r="AE140" s="181"/>
      <c r="AM140" s="181"/>
      <c r="AU140" s="181"/>
      <c r="BC140" s="181"/>
      <c r="BK140" s="181"/>
      <c r="BS140" s="181"/>
      <c r="CA140" s="181"/>
      <c r="CI140" s="181"/>
      <c r="CQ140" s="181"/>
      <c r="CY140" s="181"/>
      <c r="DG140" s="181"/>
      <c r="DO140" s="181"/>
      <c r="DW140" s="181"/>
      <c r="EE140" s="181"/>
      <c r="EM140" s="181"/>
      <c r="EU140" s="181"/>
      <c r="FC140" s="181"/>
      <c r="FK140" s="181"/>
      <c r="FS140" s="181"/>
      <c r="GA140" s="181"/>
      <c r="GI140" s="181"/>
      <c r="GQ140" s="181"/>
      <c r="GY140" s="181"/>
      <c r="HG140" s="181"/>
      <c r="HO140" s="181"/>
      <c r="HW140" s="181"/>
      <c r="IE140" s="181"/>
      <c r="IM140" s="181"/>
      <c r="IU140" s="181"/>
    </row>
    <row r="141" spans="7:255" ht="19.5" customHeight="1">
      <c r="G141" s="181"/>
      <c r="O141" s="181"/>
      <c r="W141" s="181"/>
      <c r="AE141" s="181"/>
      <c r="AM141" s="181"/>
      <c r="AU141" s="181"/>
      <c r="BC141" s="181"/>
      <c r="BK141" s="181"/>
      <c r="BS141" s="181"/>
      <c r="CA141" s="181"/>
      <c r="CI141" s="181"/>
      <c r="CQ141" s="181"/>
      <c r="CY141" s="181"/>
      <c r="DG141" s="181"/>
      <c r="DO141" s="181"/>
      <c r="DW141" s="181"/>
      <c r="EE141" s="181"/>
      <c r="EM141" s="181"/>
      <c r="EU141" s="181"/>
      <c r="FC141" s="181"/>
      <c r="FK141" s="181"/>
      <c r="FS141" s="181"/>
      <c r="GA141" s="181"/>
      <c r="GI141" s="181"/>
      <c r="GQ141" s="181"/>
      <c r="GY141" s="181"/>
      <c r="HG141" s="181"/>
      <c r="HO141" s="181"/>
      <c r="HW141" s="181"/>
      <c r="IE141" s="181"/>
      <c r="IM141" s="181"/>
      <c r="IU141" s="181"/>
    </row>
    <row r="142" spans="7:255" ht="19.5" customHeight="1">
      <c r="G142" s="181"/>
      <c r="O142" s="181"/>
      <c r="W142" s="181"/>
      <c r="AE142" s="181"/>
      <c r="AM142" s="181"/>
      <c r="AU142" s="181"/>
      <c r="BC142" s="181"/>
      <c r="BK142" s="181"/>
      <c r="BS142" s="181"/>
      <c r="CA142" s="181"/>
      <c r="CI142" s="181"/>
      <c r="CQ142" s="181"/>
      <c r="CY142" s="181"/>
      <c r="DG142" s="181"/>
      <c r="DO142" s="181"/>
      <c r="DW142" s="181"/>
      <c r="EE142" s="181"/>
      <c r="EM142" s="181"/>
      <c r="EU142" s="181"/>
      <c r="FC142" s="181"/>
      <c r="FK142" s="181"/>
      <c r="FS142" s="181"/>
      <c r="GA142" s="181"/>
      <c r="GI142" s="181"/>
      <c r="GQ142" s="181"/>
      <c r="GY142" s="181"/>
      <c r="HG142" s="181"/>
      <c r="HO142" s="181"/>
      <c r="HW142" s="181"/>
      <c r="IE142" s="181"/>
      <c r="IM142" s="181"/>
      <c r="IU142" s="181"/>
    </row>
    <row r="143" spans="7:255" ht="19.5" customHeight="1">
      <c r="G143" s="181"/>
      <c r="O143" s="181"/>
      <c r="W143" s="181"/>
      <c r="AE143" s="181"/>
      <c r="AM143" s="181"/>
      <c r="AU143" s="181"/>
      <c r="BC143" s="181"/>
      <c r="BK143" s="181"/>
      <c r="BS143" s="181"/>
      <c r="CA143" s="181"/>
      <c r="CI143" s="181"/>
      <c r="CQ143" s="181"/>
      <c r="CY143" s="181"/>
      <c r="DG143" s="181"/>
      <c r="DO143" s="181"/>
      <c r="DW143" s="181"/>
      <c r="EE143" s="181"/>
      <c r="EM143" s="181"/>
      <c r="EU143" s="181"/>
      <c r="FC143" s="181"/>
      <c r="FK143" s="181"/>
      <c r="FS143" s="181"/>
      <c r="GA143" s="181"/>
      <c r="GI143" s="181"/>
      <c r="GQ143" s="181"/>
      <c r="GY143" s="181"/>
      <c r="HG143" s="181"/>
      <c r="HO143" s="181"/>
      <c r="HW143" s="181"/>
      <c r="IE143" s="181"/>
      <c r="IM143" s="181"/>
      <c r="IU143" s="181"/>
    </row>
    <row r="144" spans="7:255" ht="19.5" customHeight="1">
      <c r="G144" s="181"/>
      <c r="O144" s="181"/>
      <c r="W144" s="181"/>
      <c r="AE144" s="181"/>
      <c r="AM144" s="181"/>
      <c r="AU144" s="181"/>
      <c r="BC144" s="181"/>
      <c r="BK144" s="181"/>
      <c r="BS144" s="181"/>
      <c r="CA144" s="181"/>
      <c r="CI144" s="181"/>
      <c r="CQ144" s="181"/>
      <c r="CY144" s="181"/>
      <c r="DG144" s="181"/>
      <c r="DO144" s="181"/>
      <c r="DW144" s="181"/>
      <c r="EE144" s="181"/>
      <c r="EM144" s="181"/>
      <c r="EU144" s="181"/>
      <c r="FC144" s="181"/>
      <c r="FK144" s="181"/>
      <c r="FS144" s="181"/>
      <c r="GA144" s="181"/>
      <c r="GI144" s="181"/>
      <c r="GQ144" s="181"/>
      <c r="GY144" s="181"/>
      <c r="HG144" s="181"/>
      <c r="HO144" s="181"/>
      <c r="HW144" s="181"/>
      <c r="IE144" s="181"/>
      <c r="IM144" s="181"/>
      <c r="IU144" s="181"/>
    </row>
    <row r="145" spans="7:255" ht="19.5" customHeight="1">
      <c r="G145" s="181"/>
      <c r="O145" s="181"/>
      <c r="W145" s="181"/>
      <c r="AE145" s="181"/>
      <c r="AM145" s="181"/>
      <c r="AU145" s="181"/>
      <c r="BC145" s="181"/>
      <c r="BK145" s="181"/>
      <c r="BS145" s="181"/>
      <c r="CA145" s="181"/>
      <c r="CI145" s="181"/>
      <c r="CQ145" s="181"/>
      <c r="CY145" s="181"/>
      <c r="DG145" s="181"/>
      <c r="DO145" s="181"/>
      <c r="DW145" s="181"/>
      <c r="EE145" s="181"/>
      <c r="EM145" s="181"/>
      <c r="EU145" s="181"/>
      <c r="FC145" s="181"/>
      <c r="FK145" s="181"/>
      <c r="FS145" s="181"/>
      <c r="GA145" s="181"/>
      <c r="GI145" s="181"/>
      <c r="GQ145" s="181"/>
      <c r="GY145" s="181"/>
      <c r="HG145" s="181"/>
      <c r="HO145" s="181"/>
      <c r="HW145" s="181"/>
      <c r="IE145" s="181"/>
      <c r="IM145" s="181"/>
      <c r="IU145" s="181"/>
    </row>
    <row r="146" spans="7:255" ht="19.5" customHeight="1">
      <c r="G146" s="181"/>
      <c r="O146" s="181"/>
      <c r="W146" s="181"/>
      <c r="AE146" s="181"/>
      <c r="AM146" s="181"/>
      <c r="AU146" s="181"/>
      <c r="BC146" s="181"/>
      <c r="BK146" s="181"/>
      <c r="BS146" s="181"/>
      <c r="CA146" s="181"/>
      <c r="CI146" s="181"/>
      <c r="CQ146" s="181"/>
      <c r="CY146" s="181"/>
      <c r="DG146" s="181"/>
      <c r="DO146" s="181"/>
      <c r="DW146" s="181"/>
      <c r="EE146" s="181"/>
      <c r="EM146" s="181"/>
      <c r="EU146" s="181"/>
      <c r="FC146" s="181"/>
      <c r="FK146" s="181"/>
      <c r="FS146" s="181"/>
      <c r="GA146" s="181"/>
      <c r="GI146" s="181"/>
      <c r="GQ146" s="181"/>
      <c r="GY146" s="181"/>
      <c r="HG146" s="181"/>
      <c r="HO146" s="181"/>
      <c r="HW146" s="181"/>
      <c r="IE146" s="181"/>
      <c r="IM146" s="181"/>
      <c r="IU146" s="181"/>
    </row>
    <row r="147" spans="7:255" ht="19.5" customHeight="1">
      <c r="G147" s="181"/>
      <c r="O147" s="181"/>
      <c r="W147" s="181"/>
      <c r="AE147" s="181"/>
      <c r="AM147" s="181"/>
      <c r="AU147" s="181"/>
      <c r="BC147" s="181"/>
      <c r="BK147" s="181"/>
      <c r="BS147" s="181"/>
      <c r="CA147" s="181"/>
      <c r="CI147" s="181"/>
      <c r="CQ147" s="181"/>
      <c r="CY147" s="181"/>
      <c r="DG147" s="181"/>
      <c r="DO147" s="181"/>
      <c r="DW147" s="181"/>
      <c r="EE147" s="181"/>
      <c r="EM147" s="181"/>
      <c r="EU147" s="181"/>
      <c r="FC147" s="181"/>
      <c r="FK147" s="181"/>
      <c r="FS147" s="181"/>
      <c r="GA147" s="181"/>
      <c r="GI147" s="181"/>
      <c r="GQ147" s="181"/>
      <c r="GY147" s="181"/>
      <c r="HG147" s="181"/>
      <c r="HO147" s="181"/>
      <c r="HW147" s="181"/>
      <c r="IE147" s="181"/>
      <c r="IM147" s="181"/>
      <c r="IU147" s="181"/>
    </row>
    <row r="148" spans="7:255" ht="19.5" customHeight="1">
      <c r="G148" s="181"/>
      <c r="O148" s="181"/>
      <c r="W148" s="181"/>
      <c r="AE148" s="181"/>
      <c r="AM148" s="181"/>
      <c r="AU148" s="181"/>
      <c r="BC148" s="181"/>
      <c r="BK148" s="181"/>
      <c r="BS148" s="181"/>
      <c r="CA148" s="181"/>
      <c r="CI148" s="181"/>
      <c r="CQ148" s="181"/>
      <c r="CY148" s="181"/>
      <c r="DG148" s="181"/>
      <c r="DO148" s="181"/>
      <c r="DW148" s="181"/>
      <c r="EE148" s="181"/>
      <c r="EM148" s="181"/>
      <c r="EU148" s="181"/>
      <c r="FC148" s="181"/>
      <c r="FK148" s="181"/>
      <c r="FS148" s="181"/>
      <c r="GA148" s="181"/>
      <c r="GI148" s="181"/>
      <c r="GQ148" s="181"/>
      <c r="GY148" s="181"/>
      <c r="HG148" s="181"/>
      <c r="HO148" s="181"/>
      <c r="HW148" s="181"/>
      <c r="IE148" s="181"/>
      <c r="IM148" s="181"/>
      <c r="IU148" s="181"/>
    </row>
    <row r="149" spans="7:255" ht="19.5" customHeight="1">
      <c r="G149" s="181"/>
      <c r="O149" s="181"/>
      <c r="W149" s="181"/>
      <c r="AE149" s="181"/>
      <c r="AM149" s="181"/>
      <c r="AU149" s="181"/>
      <c r="BC149" s="181"/>
      <c r="BK149" s="181"/>
      <c r="BS149" s="181"/>
      <c r="CA149" s="181"/>
      <c r="CI149" s="181"/>
      <c r="CQ149" s="181"/>
      <c r="CY149" s="181"/>
      <c r="DG149" s="181"/>
      <c r="DO149" s="181"/>
      <c r="DW149" s="181"/>
      <c r="EE149" s="181"/>
      <c r="EM149" s="181"/>
      <c r="EU149" s="181"/>
      <c r="FC149" s="181"/>
      <c r="FK149" s="181"/>
      <c r="FS149" s="181"/>
      <c r="GA149" s="181"/>
      <c r="GI149" s="181"/>
      <c r="GQ149" s="181"/>
      <c r="GY149" s="181"/>
      <c r="HG149" s="181"/>
      <c r="HO149" s="181"/>
      <c r="HW149" s="181"/>
      <c r="IE149" s="181"/>
      <c r="IM149" s="181"/>
      <c r="IU149" s="181"/>
    </row>
    <row r="150" spans="7:255" ht="19.5" customHeight="1">
      <c r="G150" s="181"/>
      <c r="O150" s="181"/>
      <c r="W150" s="181"/>
      <c r="AE150" s="181"/>
      <c r="AM150" s="181"/>
      <c r="AU150" s="181"/>
      <c r="BC150" s="181"/>
      <c r="BK150" s="181"/>
      <c r="BS150" s="181"/>
      <c r="CA150" s="181"/>
      <c r="CI150" s="181"/>
      <c r="CQ150" s="181"/>
      <c r="CY150" s="181"/>
      <c r="DG150" s="181"/>
      <c r="DO150" s="181"/>
      <c r="DW150" s="181"/>
      <c r="EE150" s="181"/>
      <c r="EM150" s="181"/>
      <c r="EU150" s="181"/>
      <c r="FC150" s="181"/>
      <c r="FK150" s="181"/>
      <c r="FS150" s="181"/>
      <c r="GA150" s="181"/>
      <c r="GI150" s="181"/>
      <c r="GQ150" s="181"/>
      <c r="GY150" s="181"/>
      <c r="HG150" s="181"/>
      <c r="HO150" s="181"/>
      <c r="HW150" s="181"/>
      <c r="IE150" s="181"/>
      <c r="IM150" s="181"/>
      <c r="IU150" s="181"/>
    </row>
    <row r="151" spans="7:255" ht="19.5" customHeight="1">
      <c r="G151" s="181"/>
      <c r="O151" s="181"/>
      <c r="W151" s="181"/>
      <c r="AE151" s="181"/>
      <c r="AM151" s="181"/>
      <c r="AU151" s="181"/>
      <c r="BC151" s="181"/>
      <c r="BK151" s="181"/>
      <c r="BS151" s="181"/>
      <c r="CA151" s="181"/>
      <c r="CI151" s="181"/>
      <c r="CQ151" s="181"/>
      <c r="CY151" s="181"/>
      <c r="DG151" s="181"/>
      <c r="DO151" s="181"/>
      <c r="DW151" s="181"/>
      <c r="EE151" s="181"/>
      <c r="EM151" s="181"/>
      <c r="EU151" s="181"/>
      <c r="FC151" s="181"/>
      <c r="FK151" s="181"/>
      <c r="FS151" s="181"/>
      <c r="GA151" s="181"/>
      <c r="GI151" s="181"/>
      <c r="GQ151" s="181"/>
      <c r="GY151" s="181"/>
      <c r="HG151" s="181"/>
      <c r="HO151" s="181"/>
      <c r="HW151" s="181"/>
      <c r="IE151" s="181"/>
      <c r="IM151" s="181"/>
      <c r="IU151" s="181"/>
    </row>
    <row r="152" spans="7:255" ht="19.5" customHeight="1">
      <c r="G152" s="181"/>
      <c r="O152" s="181"/>
      <c r="W152" s="181"/>
      <c r="AE152" s="181"/>
      <c r="AM152" s="181"/>
      <c r="AU152" s="181"/>
      <c r="BC152" s="181"/>
      <c r="BK152" s="181"/>
      <c r="BS152" s="181"/>
      <c r="CA152" s="181"/>
      <c r="CI152" s="181"/>
      <c r="CQ152" s="181"/>
      <c r="CY152" s="181"/>
      <c r="DG152" s="181"/>
      <c r="DO152" s="181"/>
      <c r="DW152" s="181"/>
      <c r="EE152" s="181"/>
      <c r="EM152" s="181"/>
      <c r="EU152" s="181"/>
      <c r="FC152" s="181"/>
      <c r="FK152" s="181"/>
      <c r="FS152" s="181"/>
      <c r="GA152" s="181"/>
      <c r="GI152" s="181"/>
      <c r="GQ152" s="181"/>
      <c r="GY152" s="181"/>
      <c r="HG152" s="181"/>
      <c r="HO152" s="181"/>
      <c r="HW152" s="181"/>
      <c r="IE152" s="181"/>
      <c r="IM152" s="181"/>
      <c r="IU152" s="181"/>
    </row>
    <row r="153" spans="7:255" ht="19.5" customHeight="1">
      <c r="G153" s="181"/>
      <c r="O153" s="181"/>
      <c r="W153" s="181"/>
      <c r="AE153" s="181"/>
      <c r="AM153" s="181"/>
      <c r="AU153" s="181"/>
      <c r="BC153" s="181"/>
      <c r="BK153" s="181"/>
      <c r="BS153" s="181"/>
      <c r="CA153" s="181"/>
      <c r="CI153" s="181"/>
      <c r="CQ153" s="181"/>
      <c r="CY153" s="181"/>
      <c r="DG153" s="181"/>
      <c r="DO153" s="181"/>
      <c r="DW153" s="181"/>
      <c r="EE153" s="181"/>
      <c r="EM153" s="181"/>
      <c r="EU153" s="181"/>
      <c r="FC153" s="181"/>
      <c r="FK153" s="181"/>
      <c r="FS153" s="181"/>
      <c r="GA153" s="181"/>
      <c r="GI153" s="181"/>
      <c r="GQ153" s="181"/>
      <c r="GY153" s="181"/>
      <c r="HG153" s="181"/>
      <c r="HO153" s="181"/>
      <c r="HW153" s="181"/>
      <c r="IE153" s="181"/>
      <c r="IM153" s="181"/>
      <c r="IU153" s="181"/>
    </row>
    <row r="154" spans="7:255" ht="19.5" customHeight="1">
      <c r="G154" s="181"/>
      <c r="O154" s="181"/>
      <c r="W154" s="181"/>
      <c r="AE154" s="181"/>
      <c r="AM154" s="181"/>
      <c r="AU154" s="181"/>
      <c r="BC154" s="181"/>
      <c r="BK154" s="181"/>
      <c r="BS154" s="181"/>
      <c r="CA154" s="181"/>
      <c r="CI154" s="181"/>
      <c r="CQ154" s="181"/>
      <c r="CY154" s="181"/>
      <c r="DG154" s="181"/>
      <c r="DO154" s="181"/>
      <c r="DW154" s="181"/>
      <c r="EE154" s="181"/>
      <c r="EM154" s="181"/>
      <c r="EU154" s="181"/>
      <c r="FC154" s="181"/>
      <c r="FK154" s="181"/>
      <c r="FS154" s="181"/>
      <c r="GA154" s="181"/>
      <c r="GI154" s="181"/>
      <c r="GQ154" s="181"/>
      <c r="GY154" s="181"/>
      <c r="HG154" s="181"/>
      <c r="HO154" s="181"/>
      <c r="HW154" s="181"/>
      <c r="IE154" s="181"/>
      <c r="IM154" s="181"/>
      <c r="IU154" s="181"/>
    </row>
    <row r="155" spans="7:255" ht="19.5" customHeight="1">
      <c r="G155" s="181"/>
      <c r="O155" s="181"/>
      <c r="W155" s="181"/>
      <c r="AE155" s="181"/>
      <c r="AM155" s="181"/>
      <c r="AU155" s="181"/>
      <c r="BC155" s="181"/>
      <c r="BK155" s="181"/>
      <c r="BS155" s="181"/>
      <c r="CA155" s="181"/>
      <c r="CI155" s="181"/>
      <c r="CQ155" s="181"/>
      <c r="CY155" s="181"/>
      <c r="DG155" s="181"/>
      <c r="DO155" s="181"/>
      <c r="DW155" s="181"/>
      <c r="EE155" s="181"/>
      <c r="EM155" s="181"/>
      <c r="EU155" s="181"/>
      <c r="FC155" s="181"/>
      <c r="FK155" s="181"/>
      <c r="FS155" s="181"/>
      <c r="GA155" s="181"/>
      <c r="GI155" s="181"/>
      <c r="GQ155" s="181"/>
      <c r="GY155" s="181"/>
      <c r="HG155" s="181"/>
      <c r="HO155" s="181"/>
      <c r="HW155" s="181"/>
      <c r="IE155" s="181"/>
      <c r="IM155" s="181"/>
      <c r="IU155" s="181"/>
    </row>
    <row r="156" spans="7:255" ht="19.5" customHeight="1">
      <c r="G156" s="181"/>
      <c r="O156" s="181"/>
      <c r="W156" s="181"/>
      <c r="AE156" s="181"/>
      <c r="AM156" s="181"/>
      <c r="AU156" s="181"/>
      <c r="BC156" s="181"/>
      <c r="BK156" s="181"/>
      <c r="BS156" s="181"/>
      <c r="CA156" s="181"/>
      <c r="CI156" s="181"/>
      <c r="CQ156" s="181"/>
      <c r="CY156" s="181"/>
      <c r="DG156" s="181"/>
      <c r="DO156" s="181"/>
      <c r="DW156" s="181"/>
      <c r="EE156" s="181"/>
      <c r="EM156" s="181"/>
      <c r="EU156" s="181"/>
      <c r="FC156" s="181"/>
      <c r="FK156" s="181"/>
      <c r="FS156" s="181"/>
      <c r="GA156" s="181"/>
      <c r="GI156" s="181"/>
      <c r="GQ156" s="181"/>
      <c r="GY156" s="181"/>
      <c r="HG156" s="181"/>
      <c r="HO156" s="181"/>
      <c r="HW156" s="181"/>
      <c r="IE156" s="181"/>
      <c r="IM156" s="181"/>
      <c r="IU156" s="181"/>
    </row>
    <row r="157" spans="7:255" ht="19.5" customHeight="1">
      <c r="G157" s="181"/>
      <c r="O157" s="181"/>
      <c r="W157" s="181"/>
      <c r="AE157" s="181"/>
      <c r="AM157" s="181"/>
      <c r="AU157" s="181"/>
      <c r="BC157" s="181"/>
      <c r="BK157" s="181"/>
      <c r="BS157" s="181"/>
      <c r="CA157" s="181"/>
      <c r="CI157" s="181"/>
      <c r="CQ157" s="181"/>
      <c r="CY157" s="181"/>
      <c r="DG157" s="181"/>
      <c r="DO157" s="181"/>
      <c r="DW157" s="181"/>
      <c r="EE157" s="181"/>
      <c r="EM157" s="181"/>
      <c r="EU157" s="181"/>
      <c r="FC157" s="181"/>
      <c r="FK157" s="181"/>
      <c r="FS157" s="181"/>
      <c r="GA157" s="181"/>
      <c r="GI157" s="181"/>
      <c r="GQ157" s="181"/>
      <c r="GY157" s="181"/>
      <c r="HG157" s="181"/>
      <c r="HO157" s="181"/>
      <c r="HW157" s="181"/>
      <c r="IE157" s="181"/>
      <c r="IM157" s="181"/>
      <c r="IU157" s="181"/>
    </row>
    <row r="158" spans="7:255" ht="19.5" customHeight="1">
      <c r="G158" s="181"/>
      <c r="O158" s="181"/>
      <c r="W158" s="181"/>
      <c r="AE158" s="181"/>
      <c r="AM158" s="181"/>
      <c r="AU158" s="181"/>
      <c r="BC158" s="181"/>
      <c r="BK158" s="181"/>
      <c r="BS158" s="181"/>
      <c r="CA158" s="181"/>
      <c r="CI158" s="181"/>
      <c r="CQ158" s="181"/>
      <c r="CY158" s="181"/>
      <c r="DG158" s="181"/>
      <c r="DO158" s="181"/>
      <c r="DW158" s="181"/>
      <c r="EE158" s="181"/>
      <c r="EM158" s="181"/>
      <c r="EU158" s="181"/>
      <c r="FC158" s="181"/>
      <c r="FK158" s="181"/>
      <c r="FS158" s="181"/>
      <c r="GA158" s="181"/>
      <c r="GI158" s="181"/>
      <c r="GQ158" s="181"/>
      <c r="GY158" s="181"/>
      <c r="HG158" s="181"/>
      <c r="HO158" s="181"/>
      <c r="HW158" s="181"/>
      <c r="IE158" s="181"/>
      <c r="IM158" s="181"/>
      <c r="IU158" s="181"/>
    </row>
    <row r="159" spans="7:255" ht="19.5" customHeight="1">
      <c r="G159" s="181"/>
      <c r="O159" s="181"/>
      <c r="W159" s="181"/>
      <c r="AE159" s="181"/>
      <c r="AM159" s="181"/>
      <c r="AU159" s="181"/>
      <c r="BC159" s="181"/>
      <c r="BK159" s="181"/>
      <c r="BS159" s="181"/>
      <c r="CA159" s="181"/>
      <c r="CI159" s="181"/>
      <c r="CQ159" s="181"/>
      <c r="CY159" s="181"/>
      <c r="DG159" s="181"/>
      <c r="DO159" s="181"/>
      <c r="DW159" s="181"/>
      <c r="EE159" s="181"/>
      <c r="EM159" s="181"/>
      <c r="EU159" s="181"/>
      <c r="FC159" s="181"/>
      <c r="FK159" s="181"/>
      <c r="FS159" s="181"/>
      <c r="GA159" s="181"/>
      <c r="GI159" s="181"/>
      <c r="GQ159" s="181"/>
      <c r="GY159" s="181"/>
      <c r="HG159" s="181"/>
      <c r="HO159" s="181"/>
      <c r="HW159" s="181"/>
      <c r="IE159" s="181"/>
      <c r="IM159" s="181"/>
      <c r="IU159" s="181"/>
    </row>
    <row r="160" spans="7:255" ht="19.5" customHeight="1">
      <c r="G160" s="181"/>
      <c r="O160" s="181"/>
      <c r="W160" s="181"/>
      <c r="AE160" s="181"/>
      <c r="AM160" s="181"/>
      <c r="AU160" s="181"/>
      <c r="BC160" s="181"/>
      <c r="BK160" s="181"/>
      <c r="BS160" s="181"/>
      <c r="CA160" s="181"/>
      <c r="CI160" s="181"/>
      <c r="CQ160" s="181"/>
      <c r="CY160" s="181"/>
      <c r="DG160" s="181"/>
      <c r="DO160" s="181"/>
      <c r="DW160" s="181"/>
      <c r="EE160" s="181"/>
      <c r="EM160" s="181"/>
      <c r="EU160" s="181"/>
      <c r="FC160" s="181"/>
      <c r="FK160" s="181"/>
      <c r="FS160" s="181"/>
      <c r="GA160" s="181"/>
      <c r="GI160" s="181"/>
      <c r="GQ160" s="181"/>
      <c r="GY160" s="181"/>
      <c r="HG160" s="181"/>
      <c r="HO160" s="181"/>
      <c r="HW160" s="181"/>
      <c r="IE160" s="181"/>
      <c r="IM160" s="181"/>
      <c r="IU160" s="181"/>
    </row>
    <row r="161" spans="7:255" ht="19.5" customHeight="1">
      <c r="G161" s="181"/>
      <c r="O161" s="181"/>
      <c r="W161" s="181"/>
      <c r="AE161" s="181"/>
      <c r="AM161" s="181"/>
      <c r="AU161" s="181"/>
      <c r="BC161" s="181"/>
      <c r="BK161" s="181"/>
      <c r="BS161" s="181"/>
      <c r="CA161" s="181"/>
      <c r="CI161" s="181"/>
      <c r="CQ161" s="181"/>
      <c r="CY161" s="181"/>
      <c r="DG161" s="181"/>
      <c r="DO161" s="181"/>
      <c r="DW161" s="181"/>
      <c r="EE161" s="181"/>
      <c r="EM161" s="181"/>
      <c r="EU161" s="181"/>
      <c r="FC161" s="181"/>
      <c r="FK161" s="181"/>
      <c r="FS161" s="181"/>
      <c r="GA161" s="181"/>
      <c r="GI161" s="181"/>
      <c r="GQ161" s="181"/>
      <c r="GY161" s="181"/>
      <c r="HG161" s="181"/>
      <c r="HO161" s="181"/>
      <c r="HW161" s="181"/>
      <c r="IE161" s="181"/>
      <c r="IM161" s="181"/>
      <c r="IU161" s="181"/>
    </row>
    <row r="162" spans="7:255" ht="19.5" customHeight="1">
      <c r="G162" s="181"/>
      <c r="O162" s="181"/>
      <c r="W162" s="181"/>
      <c r="AE162" s="181"/>
      <c r="AM162" s="181"/>
      <c r="AU162" s="181"/>
      <c r="BC162" s="181"/>
      <c r="BK162" s="181"/>
      <c r="BS162" s="181"/>
      <c r="CA162" s="181"/>
      <c r="CI162" s="181"/>
      <c r="CQ162" s="181"/>
      <c r="CY162" s="181"/>
      <c r="DG162" s="181"/>
      <c r="DO162" s="181"/>
      <c r="DW162" s="181"/>
      <c r="EE162" s="181"/>
      <c r="EM162" s="181"/>
      <c r="EU162" s="181"/>
      <c r="FC162" s="181"/>
      <c r="FK162" s="181"/>
      <c r="FS162" s="181"/>
      <c r="GA162" s="181"/>
      <c r="GI162" s="181"/>
      <c r="GQ162" s="181"/>
      <c r="GY162" s="181"/>
      <c r="HG162" s="181"/>
      <c r="HO162" s="181"/>
      <c r="HW162" s="181"/>
      <c r="IE162" s="181"/>
      <c r="IM162" s="181"/>
      <c r="IU162" s="181"/>
    </row>
    <row r="163" spans="7:255" ht="19.5" customHeight="1">
      <c r="G163" s="181"/>
      <c r="O163" s="181"/>
      <c r="W163" s="181"/>
      <c r="AE163" s="181"/>
      <c r="AM163" s="181"/>
      <c r="AU163" s="181"/>
      <c r="BC163" s="181"/>
      <c r="BK163" s="181"/>
      <c r="BS163" s="181"/>
      <c r="CA163" s="181"/>
      <c r="CI163" s="181"/>
      <c r="CQ163" s="181"/>
      <c r="CY163" s="181"/>
      <c r="DG163" s="181"/>
      <c r="DO163" s="181"/>
      <c r="DW163" s="181"/>
      <c r="EE163" s="181"/>
      <c r="EM163" s="181"/>
      <c r="EU163" s="181"/>
      <c r="FC163" s="181"/>
      <c r="FK163" s="181"/>
      <c r="FS163" s="181"/>
      <c r="GA163" s="181"/>
      <c r="GI163" s="181"/>
      <c r="GQ163" s="181"/>
      <c r="GY163" s="181"/>
      <c r="HG163" s="181"/>
      <c r="HO163" s="181"/>
      <c r="HW163" s="181"/>
      <c r="IE163" s="181"/>
      <c r="IM163" s="181"/>
      <c r="IU163" s="181"/>
    </row>
    <row r="164" spans="7:255" ht="19.5" customHeight="1">
      <c r="G164" s="181"/>
      <c r="O164" s="181"/>
      <c r="W164" s="181"/>
      <c r="AE164" s="181"/>
      <c r="AM164" s="181"/>
      <c r="AU164" s="181"/>
      <c r="BC164" s="181"/>
      <c r="BK164" s="181"/>
      <c r="BS164" s="181"/>
      <c r="CA164" s="181"/>
      <c r="CI164" s="181"/>
      <c r="CQ164" s="181"/>
      <c r="CY164" s="181"/>
      <c r="DG164" s="181"/>
      <c r="DO164" s="181"/>
      <c r="DW164" s="181"/>
      <c r="EE164" s="181"/>
      <c r="EM164" s="181"/>
      <c r="EU164" s="181"/>
      <c r="FC164" s="181"/>
      <c r="FK164" s="181"/>
      <c r="FS164" s="181"/>
      <c r="GA164" s="181"/>
      <c r="GI164" s="181"/>
      <c r="GQ164" s="181"/>
      <c r="GY164" s="181"/>
      <c r="HG164" s="181"/>
      <c r="HO164" s="181"/>
      <c r="HW164" s="181"/>
      <c r="IE164" s="181"/>
      <c r="IM164" s="181"/>
      <c r="IU164" s="181"/>
    </row>
    <row r="165" spans="7:255" ht="19.5" customHeight="1">
      <c r="G165" s="181"/>
      <c r="O165" s="181"/>
      <c r="W165" s="181"/>
      <c r="AE165" s="181"/>
      <c r="AM165" s="181"/>
      <c r="AU165" s="181"/>
      <c r="BC165" s="181"/>
      <c r="BK165" s="181"/>
      <c r="BS165" s="181"/>
      <c r="CA165" s="181"/>
      <c r="CI165" s="181"/>
      <c r="CQ165" s="181"/>
      <c r="CY165" s="181"/>
      <c r="DG165" s="181"/>
      <c r="DO165" s="181"/>
      <c r="DW165" s="181"/>
      <c r="EE165" s="181"/>
      <c r="EM165" s="181"/>
      <c r="EU165" s="181"/>
      <c r="FC165" s="181"/>
      <c r="FK165" s="181"/>
      <c r="FS165" s="181"/>
      <c r="GA165" s="181"/>
      <c r="GI165" s="181"/>
      <c r="GQ165" s="181"/>
      <c r="GY165" s="181"/>
      <c r="HG165" s="181"/>
      <c r="HO165" s="181"/>
      <c r="HW165" s="181"/>
      <c r="IE165" s="181"/>
      <c r="IM165" s="181"/>
      <c r="IU165" s="181"/>
    </row>
    <row r="166" spans="7:255" ht="19.5" customHeight="1">
      <c r="G166" s="181"/>
      <c r="O166" s="181"/>
      <c r="W166" s="181"/>
      <c r="AE166" s="181"/>
      <c r="AM166" s="181"/>
      <c r="AU166" s="181"/>
      <c r="BC166" s="181"/>
      <c r="BK166" s="181"/>
      <c r="BS166" s="181"/>
      <c r="CA166" s="181"/>
      <c r="CI166" s="181"/>
      <c r="CQ166" s="181"/>
      <c r="CY166" s="181"/>
      <c r="DG166" s="181"/>
      <c r="DO166" s="181"/>
      <c r="DW166" s="181"/>
      <c r="EE166" s="181"/>
      <c r="EM166" s="181"/>
      <c r="EU166" s="181"/>
      <c r="FC166" s="181"/>
      <c r="FK166" s="181"/>
      <c r="FS166" s="181"/>
      <c r="GA166" s="181"/>
      <c r="GI166" s="181"/>
      <c r="GQ166" s="181"/>
      <c r="GY166" s="181"/>
      <c r="HG166" s="181"/>
      <c r="HO166" s="181"/>
      <c r="HW166" s="181"/>
      <c r="IE166" s="181"/>
      <c r="IM166" s="181"/>
      <c r="IU166" s="181"/>
    </row>
    <row r="167" spans="7:255" ht="19.5" customHeight="1">
      <c r="G167" s="181"/>
      <c r="O167" s="181"/>
      <c r="W167" s="181"/>
      <c r="AE167" s="181"/>
      <c r="AM167" s="181"/>
      <c r="AU167" s="181"/>
      <c r="BC167" s="181"/>
      <c r="BK167" s="181"/>
      <c r="BS167" s="181"/>
      <c r="CA167" s="181"/>
      <c r="CI167" s="181"/>
      <c r="CQ167" s="181"/>
      <c r="CY167" s="181"/>
      <c r="DG167" s="181"/>
      <c r="DO167" s="181"/>
      <c r="DW167" s="181"/>
      <c r="EE167" s="181"/>
      <c r="EM167" s="181"/>
      <c r="EU167" s="181"/>
      <c r="FC167" s="181"/>
      <c r="FK167" s="181"/>
      <c r="FS167" s="181"/>
      <c r="GA167" s="181"/>
      <c r="GI167" s="181"/>
      <c r="GQ167" s="181"/>
      <c r="GY167" s="181"/>
      <c r="HG167" s="181"/>
      <c r="HO167" s="181"/>
      <c r="HW167" s="181"/>
      <c r="IE167" s="181"/>
      <c r="IM167" s="181"/>
      <c r="IU167" s="181"/>
    </row>
    <row r="168" spans="7:255" ht="19.5" customHeight="1">
      <c r="G168" s="181"/>
      <c r="O168" s="181"/>
      <c r="W168" s="181"/>
      <c r="AE168" s="181"/>
      <c r="AM168" s="181"/>
      <c r="AU168" s="181"/>
      <c r="BC168" s="181"/>
      <c r="BK168" s="181"/>
      <c r="BS168" s="181"/>
      <c r="CA168" s="181"/>
      <c r="CI168" s="181"/>
      <c r="CQ168" s="181"/>
      <c r="CY168" s="181"/>
      <c r="DG168" s="181"/>
      <c r="DO168" s="181"/>
      <c r="DW168" s="181"/>
      <c r="EE168" s="181"/>
      <c r="EM168" s="181"/>
      <c r="EU168" s="181"/>
      <c r="FC168" s="181"/>
      <c r="FK168" s="181"/>
      <c r="FS168" s="181"/>
      <c r="GA168" s="181"/>
      <c r="GI168" s="181"/>
      <c r="GQ168" s="181"/>
      <c r="GY168" s="181"/>
      <c r="HG168" s="181"/>
      <c r="HO168" s="181"/>
      <c r="HW168" s="181"/>
      <c r="IE168" s="181"/>
      <c r="IM168" s="181"/>
      <c r="IU168" s="181"/>
    </row>
    <row r="169" spans="7:255" ht="19.5" customHeight="1">
      <c r="G169" s="181"/>
      <c r="O169" s="181"/>
      <c r="W169" s="181"/>
      <c r="AE169" s="181"/>
      <c r="AM169" s="181"/>
      <c r="AU169" s="181"/>
      <c r="BC169" s="181"/>
      <c r="BK169" s="181"/>
      <c r="BS169" s="181"/>
      <c r="CA169" s="181"/>
      <c r="CI169" s="181"/>
      <c r="CQ169" s="181"/>
      <c r="CY169" s="181"/>
      <c r="DG169" s="181"/>
      <c r="DO169" s="181"/>
      <c r="DW169" s="181"/>
      <c r="EE169" s="181"/>
      <c r="EM169" s="181"/>
      <c r="EU169" s="181"/>
      <c r="FC169" s="181"/>
      <c r="FK169" s="181"/>
      <c r="FS169" s="181"/>
      <c r="GA169" s="181"/>
      <c r="GI169" s="181"/>
      <c r="GQ169" s="181"/>
      <c r="GY169" s="181"/>
      <c r="HG169" s="181"/>
      <c r="HO169" s="181"/>
      <c r="HW169" s="181"/>
      <c r="IE169" s="181"/>
      <c r="IM169" s="181"/>
      <c r="IU169" s="181"/>
    </row>
    <row r="170" spans="7:255" ht="19.5" customHeight="1">
      <c r="G170" s="181"/>
      <c r="O170" s="181"/>
      <c r="W170" s="181"/>
      <c r="AE170" s="181"/>
      <c r="AM170" s="181"/>
      <c r="AU170" s="181"/>
      <c r="BC170" s="181"/>
      <c r="BK170" s="181"/>
      <c r="BS170" s="181"/>
      <c r="CA170" s="181"/>
      <c r="CI170" s="181"/>
      <c r="CQ170" s="181"/>
      <c r="CY170" s="181"/>
      <c r="DG170" s="181"/>
      <c r="DO170" s="181"/>
      <c r="DW170" s="181"/>
      <c r="EE170" s="181"/>
      <c r="EM170" s="181"/>
      <c r="EU170" s="181"/>
      <c r="FC170" s="181"/>
      <c r="FK170" s="181"/>
      <c r="FS170" s="181"/>
      <c r="GA170" s="181"/>
      <c r="GI170" s="181"/>
      <c r="GQ170" s="181"/>
      <c r="GY170" s="181"/>
      <c r="HG170" s="181"/>
      <c r="HO170" s="181"/>
      <c r="HW170" s="181"/>
      <c r="IE170" s="181"/>
      <c r="IM170" s="181"/>
      <c r="IU170" s="181"/>
    </row>
    <row r="171" spans="7:255" ht="19.5" customHeight="1">
      <c r="G171" s="181"/>
      <c r="O171" s="181"/>
      <c r="W171" s="181"/>
      <c r="AE171" s="181"/>
      <c r="AM171" s="181"/>
      <c r="AU171" s="181"/>
      <c r="BC171" s="181"/>
      <c r="BK171" s="181"/>
      <c r="BS171" s="181"/>
      <c r="CA171" s="181"/>
      <c r="CI171" s="181"/>
      <c r="CQ171" s="181"/>
      <c r="CY171" s="181"/>
      <c r="DG171" s="181"/>
      <c r="DO171" s="181"/>
      <c r="DW171" s="181"/>
      <c r="EE171" s="181"/>
      <c r="EM171" s="181"/>
      <c r="EU171" s="181"/>
      <c r="FC171" s="181"/>
      <c r="FK171" s="181"/>
      <c r="FS171" s="181"/>
      <c r="GA171" s="181"/>
      <c r="GI171" s="181"/>
      <c r="GQ171" s="181"/>
      <c r="GY171" s="181"/>
      <c r="HG171" s="181"/>
      <c r="HO171" s="181"/>
      <c r="HW171" s="181"/>
      <c r="IE171" s="181"/>
      <c r="IM171" s="181"/>
      <c r="IU171" s="181"/>
    </row>
    <row r="172" spans="7:255" ht="19.5" customHeight="1">
      <c r="G172" s="181"/>
      <c r="O172" s="181"/>
      <c r="W172" s="181"/>
      <c r="AE172" s="181"/>
      <c r="AM172" s="181"/>
      <c r="AU172" s="181"/>
      <c r="BC172" s="181"/>
      <c r="BK172" s="181"/>
      <c r="BS172" s="181"/>
      <c r="CA172" s="181"/>
      <c r="CI172" s="181"/>
      <c r="CQ172" s="181"/>
      <c r="CY172" s="181"/>
      <c r="DG172" s="181"/>
      <c r="DO172" s="181"/>
      <c r="DW172" s="181"/>
      <c r="EE172" s="181"/>
      <c r="EM172" s="181"/>
      <c r="EU172" s="181"/>
      <c r="FC172" s="181"/>
      <c r="FK172" s="181"/>
      <c r="FS172" s="181"/>
      <c r="GA172" s="181"/>
      <c r="GI172" s="181"/>
      <c r="GQ172" s="181"/>
      <c r="GY172" s="181"/>
      <c r="HG172" s="181"/>
      <c r="HO172" s="181"/>
      <c r="HW172" s="181"/>
      <c r="IE172" s="181"/>
      <c r="IM172" s="181"/>
      <c r="IU172" s="181"/>
    </row>
    <row r="173" spans="7:255" ht="19.5" customHeight="1">
      <c r="G173" s="181"/>
      <c r="O173" s="181"/>
      <c r="W173" s="181"/>
      <c r="AE173" s="181"/>
      <c r="AM173" s="181"/>
      <c r="AU173" s="181"/>
      <c r="BC173" s="181"/>
      <c r="BK173" s="181"/>
      <c r="BS173" s="181"/>
      <c r="CA173" s="181"/>
      <c r="CI173" s="181"/>
      <c r="CQ173" s="181"/>
      <c r="CY173" s="181"/>
      <c r="DG173" s="181"/>
      <c r="DO173" s="181"/>
      <c r="DW173" s="181"/>
      <c r="EE173" s="181"/>
      <c r="EM173" s="181"/>
      <c r="EU173" s="181"/>
      <c r="FC173" s="181"/>
      <c r="FK173" s="181"/>
      <c r="FS173" s="181"/>
      <c r="GA173" s="181"/>
      <c r="GI173" s="181"/>
      <c r="GQ173" s="181"/>
      <c r="GY173" s="181"/>
      <c r="HG173" s="181"/>
      <c r="HO173" s="181"/>
      <c r="HW173" s="181"/>
      <c r="IE173" s="181"/>
      <c r="IM173" s="181"/>
      <c r="IU173" s="181"/>
    </row>
    <row r="174" spans="7:255" ht="19.5" customHeight="1">
      <c r="G174" s="181"/>
      <c r="O174" s="181"/>
      <c r="W174" s="181"/>
      <c r="AE174" s="181"/>
      <c r="AM174" s="181"/>
      <c r="AU174" s="181"/>
      <c r="BC174" s="181"/>
      <c r="BK174" s="181"/>
      <c r="BS174" s="181"/>
      <c r="CA174" s="181"/>
      <c r="CI174" s="181"/>
      <c r="CQ174" s="181"/>
      <c r="CY174" s="181"/>
      <c r="DG174" s="181"/>
      <c r="DO174" s="181"/>
      <c r="DW174" s="181"/>
      <c r="EE174" s="181"/>
      <c r="EM174" s="181"/>
      <c r="EU174" s="181"/>
      <c r="FC174" s="181"/>
      <c r="FK174" s="181"/>
      <c r="FS174" s="181"/>
      <c r="GA174" s="181"/>
      <c r="GI174" s="181"/>
      <c r="GQ174" s="181"/>
      <c r="GY174" s="181"/>
      <c r="HG174" s="181"/>
      <c r="HO174" s="181"/>
      <c r="HW174" s="181"/>
      <c r="IE174" s="181"/>
      <c r="IM174" s="181"/>
      <c r="IU174" s="181"/>
    </row>
    <row r="175" spans="7:255" ht="19.5" customHeight="1">
      <c r="G175" s="181"/>
      <c r="O175" s="181"/>
      <c r="W175" s="181"/>
      <c r="AE175" s="181"/>
      <c r="AM175" s="181"/>
      <c r="AU175" s="181"/>
      <c r="BC175" s="181"/>
      <c r="BK175" s="181"/>
      <c r="BS175" s="181"/>
      <c r="CA175" s="181"/>
      <c r="CI175" s="181"/>
      <c r="CQ175" s="181"/>
      <c r="CY175" s="181"/>
      <c r="DG175" s="181"/>
      <c r="DO175" s="181"/>
      <c r="DW175" s="181"/>
      <c r="EE175" s="181"/>
      <c r="EM175" s="181"/>
      <c r="EU175" s="181"/>
      <c r="FC175" s="181"/>
      <c r="FK175" s="181"/>
      <c r="FS175" s="181"/>
      <c r="GA175" s="181"/>
      <c r="GI175" s="181"/>
      <c r="GQ175" s="181"/>
      <c r="GY175" s="181"/>
      <c r="HG175" s="181"/>
      <c r="HO175" s="181"/>
      <c r="HW175" s="181"/>
      <c r="IE175" s="181"/>
      <c r="IM175" s="181"/>
      <c r="IU175" s="181"/>
    </row>
    <row r="176" spans="7:255" ht="19.5" customHeight="1">
      <c r="G176" s="181"/>
      <c r="O176" s="181"/>
      <c r="W176" s="181"/>
      <c r="AE176" s="181"/>
      <c r="AM176" s="181"/>
      <c r="AU176" s="181"/>
      <c r="BC176" s="181"/>
      <c r="BK176" s="181"/>
      <c r="BS176" s="181"/>
      <c r="CA176" s="181"/>
      <c r="CI176" s="181"/>
      <c r="CQ176" s="181"/>
      <c r="CY176" s="181"/>
      <c r="DG176" s="181"/>
      <c r="DO176" s="181"/>
      <c r="DW176" s="181"/>
      <c r="EE176" s="181"/>
      <c r="EM176" s="181"/>
      <c r="EU176" s="181"/>
      <c r="FC176" s="181"/>
      <c r="FK176" s="181"/>
      <c r="FS176" s="181"/>
      <c r="GA176" s="181"/>
      <c r="GI176" s="181"/>
      <c r="GQ176" s="181"/>
      <c r="GY176" s="181"/>
      <c r="HG176" s="181"/>
      <c r="HO176" s="181"/>
      <c r="HW176" s="181"/>
      <c r="IE176" s="181"/>
      <c r="IM176" s="181"/>
      <c r="IU176" s="181"/>
    </row>
    <row r="177" spans="7:255" ht="19.5" customHeight="1">
      <c r="G177" s="181"/>
      <c r="O177" s="181"/>
      <c r="W177" s="181"/>
      <c r="AE177" s="181"/>
      <c r="AM177" s="181"/>
      <c r="AU177" s="181"/>
      <c r="BC177" s="181"/>
      <c r="BK177" s="181"/>
      <c r="BS177" s="181"/>
      <c r="CA177" s="181"/>
      <c r="CI177" s="181"/>
      <c r="CQ177" s="181"/>
      <c r="CY177" s="181"/>
      <c r="DG177" s="181"/>
      <c r="DO177" s="181"/>
      <c r="DW177" s="181"/>
      <c r="EE177" s="181"/>
      <c r="EM177" s="181"/>
      <c r="EU177" s="181"/>
      <c r="FC177" s="181"/>
      <c r="FK177" s="181"/>
      <c r="FS177" s="181"/>
      <c r="GA177" s="181"/>
      <c r="GI177" s="181"/>
      <c r="GQ177" s="181"/>
      <c r="GY177" s="181"/>
      <c r="HG177" s="181"/>
      <c r="HO177" s="181"/>
      <c r="HW177" s="181"/>
      <c r="IE177" s="181"/>
      <c r="IM177" s="181"/>
      <c r="IU177" s="181"/>
    </row>
    <row r="178" spans="7:255" ht="19.5" customHeight="1">
      <c r="G178" s="181"/>
      <c r="O178" s="181"/>
      <c r="W178" s="181"/>
      <c r="AE178" s="181"/>
      <c r="AM178" s="181"/>
      <c r="AU178" s="181"/>
      <c r="BC178" s="181"/>
      <c r="BK178" s="181"/>
      <c r="BS178" s="181"/>
      <c r="CA178" s="181"/>
      <c r="CI178" s="181"/>
      <c r="CQ178" s="181"/>
      <c r="CY178" s="181"/>
      <c r="DG178" s="181"/>
      <c r="DO178" s="181"/>
      <c r="DW178" s="181"/>
      <c r="EE178" s="181"/>
      <c r="EM178" s="181"/>
      <c r="EU178" s="181"/>
      <c r="FC178" s="181"/>
      <c r="FK178" s="181"/>
      <c r="FS178" s="181"/>
      <c r="GA178" s="181"/>
      <c r="GI178" s="181"/>
      <c r="GQ178" s="181"/>
      <c r="GY178" s="181"/>
      <c r="HG178" s="181"/>
      <c r="HO178" s="181"/>
      <c r="HW178" s="181"/>
      <c r="IE178" s="181"/>
      <c r="IM178" s="181"/>
      <c r="IU178" s="181"/>
    </row>
    <row r="179" spans="7:255" ht="19.5" customHeight="1">
      <c r="G179" s="181"/>
      <c r="O179" s="181"/>
      <c r="W179" s="181"/>
      <c r="AE179" s="181"/>
      <c r="AM179" s="181"/>
      <c r="AU179" s="181"/>
      <c r="BC179" s="181"/>
      <c r="BK179" s="181"/>
      <c r="BS179" s="181"/>
      <c r="CA179" s="181"/>
      <c r="CI179" s="181"/>
      <c r="CQ179" s="181"/>
      <c r="CY179" s="181"/>
      <c r="DG179" s="181"/>
      <c r="DO179" s="181"/>
      <c r="DW179" s="181"/>
      <c r="EE179" s="181"/>
      <c r="EM179" s="181"/>
      <c r="EU179" s="181"/>
      <c r="FC179" s="181"/>
      <c r="FK179" s="181"/>
      <c r="FS179" s="181"/>
      <c r="GA179" s="181"/>
      <c r="GI179" s="181"/>
      <c r="GQ179" s="181"/>
      <c r="GY179" s="181"/>
      <c r="HG179" s="181"/>
      <c r="HO179" s="181"/>
      <c r="HW179" s="181"/>
      <c r="IE179" s="181"/>
      <c r="IM179" s="181"/>
      <c r="IU179" s="181"/>
    </row>
    <row r="180" spans="7:255" ht="19.5" customHeight="1">
      <c r="G180" s="181"/>
      <c r="O180" s="181"/>
      <c r="W180" s="181"/>
      <c r="AE180" s="181"/>
      <c r="AM180" s="181"/>
      <c r="AU180" s="181"/>
      <c r="BC180" s="181"/>
      <c r="BK180" s="181"/>
      <c r="BS180" s="181"/>
      <c r="CA180" s="181"/>
      <c r="CI180" s="181"/>
      <c r="CQ180" s="181"/>
      <c r="CY180" s="181"/>
      <c r="DG180" s="181"/>
      <c r="DO180" s="181"/>
      <c r="DW180" s="181"/>
      <c r="EE180" s="181"/>
      <c r="EM180" s="181"/>
      <c r="EU180" s="181"/>
      <c r="FC180" s="181"/>
      <c r="FK180" s="181"/>
      <c r="FS180" s="181"/>
      <c r="GA180" s="181"/>
      <c r="GI180" s="181"/>
      <c r="GQ180" s="181"/>
      <c r="GY180" s="181"/>
      <c r="HG180" s="181"/>
      <c r="HO180" s="181"/>
      <c r="HW180" s="181"/>
      <c r="IE180" s="181"/>
      <c r="IM180" s="181"/>
      <c r="IU180" s="181"/>
    </row>
    <row r="181" spans="7:255" ht="19.5" customHeight="1">
      <c r="G181" s="181"/>
      <c r="O181" s="181"/>
      <c r="W181" s="181"/>
      <c r="AE181" s="181"/>
      <c r="AM181" s="181"/>
      <c r="AU181" s="181"/>
      <c r="BC181" s="181"/>
      <c r="BK181" s="181"/>
      <c r="BS181" s="181"/>
      <c r="CA181" s="181"/>
      <c r="CI181" s="181"/>
      <c r="CQ181" s="181"/>
      <c r="CY181" s="181"/>
      <c r="DG181" s="181"/>
      <c r="DO181" s="181"/>
      <c r="DW181" s="181"/>
      <c r="EE181" s="181"/>
      <c r="EM181" s="181"/>
      <c r="EU181" s="181"/>
      <c r="FC181" s="181"/>
      <c r="FK181" s="181"/>
      <c r="FS181" s="181"/>
      <c r="GA181" s="181"/>
      <c r="GI181" s="181"/>
      <c r="GQ181" s="181"/>
      <c r="GY181" s="181"/>
      <c r="HG181" s="181"/>
      <c r="HO181" s="181"/>
      <c r="HW181" s="181"/>
      <c r="IE181" s="181"/>
      <c r="IM181" s="181"/>
      <c r="IU181" s="181"/>
    </row>
    <row r="182" spans="7:255" ht="19.5" customHeight="1">
      <c r="G182" s="181"/>
      <c r="O182" s="181"/>
      <c r="W182" s="181"/>
      <c r="AE182" s="181"/>
      <c r="AM182" s="181"/>
      <c r="AU182" s="181"/>
      <c r="BC182" s="181"/>
      <c r="BK182" s="181"/>
      <c r="BS182" s="181"/>
      <c r="CA182" s="181"/>
      <c r="CI182" s="181"/>
      <c r="CQ182" s="181"/>
      <c r="CY182" s="181"/>
      <c r="DG182" s="181"/>
      <c r="DO182" s="181"/>
      <c r="DW182" s="181"/>
      <c r="EE182" s="181"/>
      <c r="EM182" s="181"/>
      <c r="EU182" s="181"/>
      <c r="FC182" s="181"/>
      <c r="FK182" s="181"/>
      <c r="FS182" s="181"/>
      <c r="GA182" s="181"/>
      <c r="GI182" s="181"/>
      <c r="GQ182" s="181"/>
      <c r="GY182" s="181"/>
      <c r="HG182" s="181"/>
      <c r="HO182" s="181"/>
      <c r="HW182" s="181"/>
      <c r="IE182" s="181"/>
      <c r="IM182" s="181"/>
      <c r="IU182" s="181"/>
    </row>
    <row r="183" spans="7:255" ht="19.5" customHeight="1">
      <c r="G183" s="181"/>
      <c r="O183" s="181"/>
      <c r="W183" s="181"/>
      <c r="AE183" s="181"/>
      <c r="AM183" s="181"/>
      <c r="AU183" s="181"/>
      <c r="BC183" s="181"/>
      <c r="BK183" s="181"/>
      <c r="BS183" s="181"/>
      <c r="CA183" s="181"/>
      <c r="CI183" s="181"/>
      <c r="CQ183" s="181"/>
      <c r="CY183" s="181"/>
      <c r="DG183" s="181"/>
      <c r="DO183" s="181"/>
      <c r="DW183" s="181"/>
      <c r="EE183" s="181"/>
      <c r="EM183" s="181"/>
      <c r="EU183" s="181"/>
      <c r="FC183" s="181"/>
      <c r="FK183" s="181"/>
      <c r="FS183" s="181"/>
      <c r="GA183" s="181"/>
      <c r="GI183" s="181"/>
      <c r="GQ183" s="181"/>
      <c r="GY183" s="181"/>
      <c r="HG183" s="181"/>
      <c r="HO183" s="181"/>
      <c r="HW183" s="181"/>
      <c r="IE183" s="181"/>
      <c r="IM183" s="181"/>
      <c r="IU183" s="181"/>
    </row>
    <row r="184" spans="7:255" ht="19.5" customHeight="1">
      <c r="G184" s="181"/>
      <c r="O184" s="181"/>
      <c r="W184" s="181"/>
      <c r="AE184" s="181"/>
      <c r="AM184" s="181"/>
      <c r="AU184" s="181"/>
      <c r="BC184" s="181"/>
      <c r="BK184" s="181"/>
      <c r="BS184" s="181"/>
      <c r="CA184" s="181"/>
      <c r="CI184" s="181"/>
      <c r="CQ184" s="181"/>
      <c r="CY184" s="181"/>
      <c r="DG184" s="181"/>
      <c r="DO184" s="181"/>
      <c r="DW184" s="181"/>
      <c r="EE184" s="181"/>
      <c r="EM184" s="181"/>
      <c r="EU184" s="181"/>
      <c r="FC184" s="181"/>
      <c r="FK184" s="181"/>
      <c r="FS184" s="181"/>
      <c r="GA184" s="181"/>
      <c r="GI184" s="181"/>
      <c r="GQ184" s="181"/>
      <c r="GY184" s="181"/>
      <c r="HG184" s="181"/>
      <c r="HO184" s="181"/>
      <c r="HW184" s="181"/>
      <c r="IE184" s="181"/>
      <c r="IM184" s="181"/>
      <c r="IU184" s="181"/>
    </row>
    <row r="185" spans="7:255" ht="19.5" customHeight="1">
      <c r="G185" s="181"/>
      <c r="O185" s="181"/>
      <c r="W185" s="181"/>
      <c r="AE185" s="181"/>
      <c r="AM185" s="181"/>
      <c r="AU185" s="181"/>
      <c r="BC185" s="181"/>
      <c r="BK185" s="181"/>
      <c r="BS185" s="181"/>
      <c r="CA185" s="181"/>
      <c r="CI185" s="181"/>
      <c r="CQ185" s="181"/>
      <c r="CY185" s="181"/>
      <c r="DG185" s="181"/>
      <c r="DO185" s="181"/>
      <c r="DW185" s="181"/>
      <c r="EE185" s="181"/>
      <c r="EM185" s="181"/>
      <c r="EU185" s="181"/>
      <c r="FC185" s="181"/>
      <c r="FK185" s="181"/>
      <c r="FS185" s="181"/>
      <c r="GA185" s="181"/>
      <c r="GI185" s="181"/>
      <c r="GQ185" s="181"/>
      <c r="GY185" s="181"/>
      <c r="HG185" s="181"/>
      <c r="HO185" s="181"/>
      <c r="HW185" s="181"/>
      <c r="IE185" s="181"/>
      <c r="IM185" s="181"/>
      <c r="IU185" s="181"/>
    </row>
    <row r="186" spans="7:255" ht="19.5" customHeight="1">
      <c r="G186" s="181"/>
      <c r="O186" s="181"/>
      <c r="W186" s="181"/>
      <c r="AE186" s="181"/>
      <c r="AM186" s="181"/>
      <c r="AU186" s="181"/>
      <c r="BC186" s="181"/>
      <c r="BK186" s="181"/>
      <c r="BS186" s="181"/>
      <c r="CA186" s="181"/>
      <c r="CI186" s="181"/>
      <c r="CQ186" s="181"/>
      <c r="CY186" s="181"/>
      <c r="DG186" s="181"/>
      <c r="DO186" s="181"/>
      <c r="DW186" s="181"/>
      <c r="EE186" s="181"/>
      <c r="EM186" s="181"/>
      <c r="EU186" s="181"/>
      <c r="FC186" s="181"/>
      <c r="FK186" s="181"/>
      <c r="FS186" s="181"/>
      <c r="GA186" s="181"/>
      <c r="GI186" s="181"/>
      <c r="GQ186" s="181"/>
      <c r="GY186" s="181"/>
      <c r="HG186" s="181"/>
      <c r="HO186" s="181"/>
      <c r="HW186" s="181"/>
      <c r="IE186" s="181"/>
      <c r="IM186" s="181"/>
      <c r="IU186" s="181"/>
    </row>
    <row r="187" spans="7:255" ht="19.5" customHeight="1">
      <c r="G187" s="181"/>
      <c r="O187" s="181"/>
      <c r="W187" s="181"/>
      <c r="AE187" s="181"/>
      <c r="AM187" s="181"/>
      <c r="AU187" s="181"/>
      <c r="BC187" s="181"/>
      <c r="BK187" s="181"/>
      <c r="BS187" s="181"/>
      <c r="CA187" s="181"/>
      <c r="CI187" s="181"/>
      <c r="CQ187" s="181"/>
      <c r="CY187" s="181"/>
      <c r="DG187" s="181"/>
      <c r="DO187" s="181"/>
      <c r="DW187" s="181"/>
      <c r="EE187" s="181"/>
      <c r="EM187" s="181"/>
      <c r="EU187" s="181"/>
      <c r="FC187" s="181"/>
      <c r="FK187" s="181"/>
      <c r="FS187" s="181"/>
      <c r="GA187" s="181"/>
      <c r="GI187" s="181"/>
      <c r="GQ187" s="181"/>
      <c r="GY187" s="181"/>
      <c r="HG187" s="181"/>
      <c r="HO187" s="181"/>
      <c r="HW187" s="181"/>
      <c r="IE187" s="181"/>
      <c r="IM187" s="181"/>
      <c r="IU187" s="181"/>
    </row>
    <row r="188" spans="7:255" ht="19.5" customHeight="1">
      <c r="G188" s="181"/>
      <c r="O188" s="181"/>
      <c r="W188" s="181"/>
      <c r="AE188" s="181"/>
      <c r="AM188" s="181"/>
      <c r="AU188" s="181"/>
      <c r="BC188" s="181"/>
      <c r="BK188" s="181"/>
      <c r="BS188" s="181"/>
      <c r="CA188" s="181"/>
      <c r="CI188" s="181"/>
      <c r="CQ188" s="181"/>
      <c r="CY188" s="181"/>
      <c r="DG188" s="181"/>
      <c r="DO188" s="181"/>
      <c r="DW188" s="181"/>
      <c r="EE188" s="181"/>
      <c r="EM188" s="181"/>
      <c r="EU188" s="181"/>
      <c r="FC188" s="181"/>
      <c r="FK188" s="181"/>
      <c r="FS188" s="181"/>
      <c r="GA188" s="181"/>
      <c r="GI188" s="181"/>
      <c r="GQ188" s="181"/>
      <c r="GY188" s="181"/>
      <c r="HG188" s="181"/>
      <c r="HO188" s="181"/>
      <c r="HW188" s="181"/>
      <c r="IE188" s="181"/>
      <c r="IM188" s="181"/>
      <c r="IU188" s="181"/>
    </row>
    <row r="189" spans="7:255" ht="14.25">
      <c r="G189" s="181"/>
      <c r="O189" s="181"/>
      <c r="W189" s="181"/>
      <c r="AE189" s="181"/>
      <c r="AM189" s="181"/>
      <c r="AU189" s="181"/>
      <c r="BC189" s="181"/>
      <c r="BK189" s="181"/>
      <c r="BS189" s="181"/>
      <c r="CA189" s="181"/>
      <c r="CI189" s="181"/>
      <c r="CQ189" s="181"/>
      <c r="CY189" s="181"/>
      <c r="DG189" s="181"/>
      <c r="DO189" s="181"/>
      <c r="DW189" s="181"/>
      <c r="EE189" s="181"/>
      <c r="EM189" s="181"/>
      <c r="EU189" s="181"/>
      <c r="FC189" s="181"/>
      <c r="FK189" s="181"/>
      <c r="FS189" s="181"/>
      <c r="GA189" s="181"/>
      <c r="GI189" s="181"/>
      <c r="GQ189" s="181"/>
      <c r="GY189" s="181"/>
      <c r="HG189" s="181"/>
      <c r="HO189" s="181"/>
      <c r="HW189" s="181"/>
      <c r="IE189" s="181"/>
      <c r="IM189" s="181"/>
      <c r="IU189" s="181"/>
    </row>
    <row r="190" spans="7:255" ht="14.25">
      <c r="G190" s="181"/>
      <c r="O190" s="181"/>
      <c r="W190" s="181"/>
      <c r="AE190" s="181"/>
      <c r="AM190" s="181"/>
      <c r="AU190" s="181"/>
      <c r="BC190" s="181"/>
      <c r="BK190" s="181"/>
      <c r="BS190" s="181"/>
      <c r="CA190" s="181"/>
      <c r="CI190" s="181"/>
      <c r="CQ190" s="181"/>
      <c r="CY190" s="181"/>
      <c r="DG190" s="181"/>
      <c r="DO190" s="181"/>
      <c r="DW190" s="181"/>
      <c r="EE190" s="181"/>
      <c r="EM190" s="181"/>
      <c r="EU190" s="181"/>
      <c r="FC190" s="181"/>
      <c r="FK190" s="181"/>
      <c r="FS190" s="181"/>
      <c r="GA190" s="181"/>
      <c r="GI190" s="181"/>
      <c r="GQ190" s="181"/>
      <c r="GY190" s="181"/>
      <c r="HG190" s="181"/>
      <c r="HO190" s="181"/>
      <c r="HW190" s="181"/>
      <c r="IE190" s="181"/>
      <c r="IM190" s="181"/>
      <c r="IU190" s="181"/>
    </row>
    <row r="191" spans="7:255" ht="14.25">
      <c r="G191" s="181"/>
      <c r="O191" s="181"/>
      <c r="W191" s="181"/>
      <c r="AE191" s="181"/>
      <c r="AM191" s="181"/>
      <c r="AU191" s="181"/>
      <c r="BC191" s="181"/>
      <c r="BK191" s="181"/>
      <c r="BS191" s="181"/>
      <c r="CA191" s="181"/>
      <c r="CI191" s="181"/>
      <c r="CQ191" s="181"/>
      <c r="CY191" s="181"/>
      <c r="DG191" s="181"/>
      <c r="DO191" s="181"/>
      <c r="DW191" s="181"/>
      <c r="EE191" s="181"/>
      <c r="EM191" s="181"/>
      <c r="EU191" s="181"/>
      <c r="FC191" s="181"/>
      <c r="FK191" s="181"/>
      <c r="FS191" s="181"/>
      <c r="GA191" s="181"/>
      <c r="GI191" s="181"/>
      <c r="GQ191" s="181"/>
      <c r="GY191" s="181"/>
      <c r="HG191" s="181"/>
      <c r="HO191" s="181"/>
      <c r="HW191" s="181"/>
      <c r="IE191" s="181"/>
      <c r="IM191" s="181"/>
      <c r="IU191" s="181"/>
    </row>
    <row r="192" spans="7:255" ht="14.25">
      <c r="G192" s="181"/>
      <c r="O192" s="181"/>
      <c r="W192" s="181"/>
      <c r="AE192" s="181"/>
      <c r="AM192" s="181"/>
      <c r="AU192" s="181"/>
      <c r="BC192" s="181"/>
      <c r="BK192" s="181"/>
      <c r="BS192" s="181"/>
      <c r="CA192" s="181"/>
      <c r="CI192" s="181"/>
      <c r="CQ192" s="181"/>
      <c r="CY192" s="181"/>
      <c r="DG192" s="181"/>
      <c r="DO192" s="181"/>
      <c r="DW192" s="181"/>
      <c r="EE192" s="181"/>
      <c r="EM192" s="181"/>
      <c r="EU192" s="181"/>
      <c r="FC192" s="181"/>
      <c r="FK192" s="181"/>
      <c r="FS192" s="181"/>
      <c r="GA192" s="181"/>
      <c r="GI192" s="181"/>
      <c r="GQ192" s="181"/>
      <c r="GY192" s="181"/>
      <c r="HG192" s="181"/>
      <c r="HO192" s="181"/>
      <c r="HW192" s="181"/>
      <c r="IE192" s="181"/>
      <c r="IM192" s="181"/>
      <c r="IU192" s="181"/>
    </row>
    <row r="193" spans="7:255" ht="14.25">
      <c r="G193" s="181"/>
      <c r="O193" s="181"/>
      <c r="W193" s="181"/>
      <c r="AE193" s="181"/>
      <c r="AM193" s="181"/>
      <c r="AU193" s="181"/>
      <c r="BC193" s="181"/>
      <c r="BK193" s="181"/>
      <c r="BS193" s="181"/>
      <c r="CA193" s="181"/>
      <c r="CI193" s="181"/>
      <c r="CQ193" s="181"/>
      <c r="CY193" s="181"/>
      <c r="DG193" s="181"/>
      <c r="DO193" s="181"/>
      <c r="DW193" s="181"/>
      <c r="EE193" s="181"/>
      <c r="EM193" s="181"/>
      <c r="EU193" s="181"/>
      <c r="FC193" s="181"/>
      <c r="FK193" s="181"/>
      <c r="FS193" s="181"/>
      <c r="GA193" s="181"/>
      <c r="GI193" s="181"/>
      <c r="GQ193" s="181"/>
      <c r="GY193" s="181"/>
      <c r="HG193" s="181"/>
      <c r="HO193" s="181"/>
      <c r="HW193" s="181"/>
      <c r="IE193" s="181"/>
      <c r="IM193" s="181"/>
      <c r="IU193" s="181"/>
    </row>
    <row r="194" spans="7:255" ht="14.25">
      <c r="G194" s="181"/>
      <c r="O194" s="181"/>
      <c r="W194" s="181"/>
      <c r="AE194" s="181"/>
      <c r="AM194" s="181"/>
      <c r="AU194" s="181"/>
      <c r="BC194" s="181"/>
      <c r="BK194" s="181"/>
      <c r="BS194" s="181"/>
      <c r="CA194" s="181"/>
      <c r="CI194" s="181"/>
      <c r="CQ194" s="181"/>
      <c r="CY194" s="181"/>
      <c r="DG194" s="181"/>
      <c r="DO194" s="181"/>
      <c r="DW194" s="181"/>
      <c r="EE194" s="181"/>
      <c r="EM194" s="181"/>
      <c r="EU194" s="181"/>
      <c r="FC194" s="181"/>
      <c r="FK194" s="181"/>
      <c r="FS194" s="181"/>
      <c r="GA194" s="181"/>
      <c r="GI194" s="181"/>
      <c r="GQ194" s="181"/>
      <c r="GY194" s="181"/>
      <c r="HG194" s="181"/>
      <c r="HO194" s="181"/>
      <c r="HW194" s="181"/>
      <c r="IE194" s="181"/>
      <c r="IM194" s="181"/>
      <c r="IU194" s="181"/>
    </row>
    <row r="195" spans="7:255" ht="14.25">
      <c r="G195" s="181"/>
      <c r="O195" s="181"/>
      <c r="W195" s="181"/>
      <c r="AE195" s="181"/>
      <c r="AM195" s="181"/>
      <c r="AU195" s="181"/>
      <c r="BC195" s="181"/>
      <c r="BK195" s="181"/>
      <c r="BS195" s="181"/>
      <c r="CA195" s="181"/>
      <c r="CI195" s="181"/>
      <c r="CQ195" s="181"/>
      <c r="CY195" s="181"/>
      <c r="DG195" s="181"/>
      <c r="DO195" s="181"/>
      <c r="DW195" s="181"/>
      <c r="EE195" s="181"/>
      <c r="EM195" s="181"/>
      <c r="EU195" s="181"/>
      <c r="FC195" s="181"/>
      <c r="FK195" s="181"/>
      <c r="FS195" s="181"/>
      <c r="GA195" s="181"/>
      <c r="GI195" s="181"/>
      <c r="GQ195" s="181"/>
      <c r="GY195" s="181"/>
      <c r="HG195" s="181"/>
      <c r="HO195" s="181"/>
      <c r="HW195" s="181"/>
      <c r="IE195" s="181"/>
      <c r="IM195" s="181"/>
      <c r="IU195" s="181"/>
    </row>
    <row r="196" spans="7:255" ht="14.25">
      <c r="G196" s="181"/>
      <c r="O196" s="181"/>
      <c r="W196" s="181"/>
      <c r="AE196" s="181"/>
      <c r="AM196" s="181"/>
      <c r="AU196" s="181"/>
      <c r="BC196" s="181"/>
      <c r="BK196" s="181"/>
      <c r="BS196" s="181"/>
      <c r="CA196" s="181"/>
      <c r="CI196" s="181"/>
      <c r="CQ196" s="181"/>
      <c r="CY196" s="181"/>
      <c r="DG196" s="181"/>
      <c r="DO196" s="181"/>
      <c r="DW196" s="181"/>
      <c r="EE196" s="181"/>
      <c r="EM196" s="181"/>
      <c r="EU196" s="181"/>
      <c r="FC196" s="181"/>
      <c r="FK196" s="181"/>
      <c r="FS196" s="181"/>
      <c r="GA196" s="181"/>
      <c r="GI196" s="181"/>
      <c r="GQ196" s="181"/>
      <c r="GY196" s="181"/>
      <c r="HG196" s="181"/>
      <c r="HO196" s="181"/>
      <c r="HW196" s="181"/>
      <c r="IE196" s="181"/>
      <c r="IM196" s="181"/>
      <c r="IU196" s="181"/>
    </row>
    <row r="197" spans="7:255" ht="14.25">
      <c r="G197" s="181"/>
      <c r="O197" s="181"/>
      <c r="W197" s="181"/>
      <c r="AE197" s="181"/>
      <c r="AM197" s="181"/>
      <c r="AU197" s="181"/>
      <c r="BC197" s="181"/>
      <c r="BK197" s="181"/>
      <c r="BS197" s="181"/>
      <c r="CA197" s="181"/>
      <c r="CI197" s="181"/>
      <c r="CQ197" s="181"/>
      <c r="CY197" s="181"/>
      <c r="DG197" s="181"/>
      <c r="DO197" s="181"/>
      <c r="DW197" s="181"/>
      <c r="EE197" s="181"/>
      <c r="EM197" s="181"/>
      <c r="EU197" s="181"/>
      <c r="FC197" s="181"/>
      <c r="FK197" s="181"/>
      <c r="FS197" s="181"/>
      <c r="GA197" s="181"/>
      <c r="GI197" s="181"/>
      <c r="GQ197" s="181"/>
      <c r="GY197" s="181"/>
      <c r="HG197" s="181"/>
      <c r="HO197" s="181"/>
      <c r="HW197" s="181"/>
      <c r="IE197" s="181"/>
      <c r="IM197" s="181"/>
      <c r="IU197" s="181"/>
    </row>
    <row r="198" spans="7:255" ht="14.25">
      <c r="G198" s="181"/>
      <c r="O198" s="181"/>
      <c r="W198" s="181"/>
      <c r="AE198" s="181"/>
      <c r="AM198" s="181"/>
      <c r="AU198" s="181"/>
      <c r="BC198" s="181"/>
      <c r="BK198" s="181"/>
      <c r="BS198" s="181"/>
      <c r="CA198" s="181"/>
      <c r="CI198" s="181"/>
      <c r="CQ198" s="181"/>
      <c r="CY198" s="181"/>
      <c r="DG198" s="181"/>
      <c r="DO198" s="181"/>
      <c r="DW198" s="181"/>
      <c r="EE198" s="181"/>
      <c r="EM198" s="181"/>
      <c r="EU198" s="181"/>
      <c r="FC198" s="181"/>
      <c r="FK198" s="181"/>
      <c r="FS198" s="181"/>
      <c r="GA198" s="181"/>
      <c r="GI198" s="181"/>
      <c r="GQ198" s="181"/>
      <c r="GY198" s="181"/>
      <c r="HG198" s="181"/>
      <c r="HO198" s="181"/>
      <c r="HW198" s="181"/>
      <c r="IE198" s="181"/>
      <c r="IM198" s="181"/>
      <c r="IU198" s="181"/>
    </row>
    <row r="199" spans="7:255" ht="14.25">
      <c r="G199" s="181"/>
      <c r="O199" s="181"/>
      <c r="W199" s="181"/>
      <c r="AE199" s="181"/>
      <c r="AM199" s="181"/>
      <c r="AU199" s="181"/>
      <c r="BC199" s="181"/>
      <c r="BK199" s="181"/>
      <c r="BS199" s="181"/>
      <c r="CA199" s="181"/>
      <c r="CI199" s="181"/>
      <c r="CQ199" s="181"/>
      <c r="CY199" s="181"/>
      <c r="DG199" s="181"/>
      <c r="DO199" s="181"/>
      <c r="DW199" s="181"/>
      <c r="EE199" s="181"/>
      <c r="EM199" s="181"/>
      <c r="EU199" s="181"/>
      <c r="FC199" s="181"/>
      <c r="FK199" s="181"/>
      <c r="FS199" s="181"/>
      <c r="GA199" s="181"/>
      <c r="GI199" s="181"/>
      <c r="GQ199" s="181"/>
      <c r="GY199" s="181"/>
      <c r="HG199" s="181"/>
      <c r="HO199" s="181"/>
      <c r="HW199" s="181"/>
      <c r="IE199" s="181"/>
      <c r="IM199" s="181"/>
      <c r="IU199" s="181"/>
    </row>
    <row r="200" spans="7:255" ht="14.25">
      <c r="G200" s="181"/>
      <c r="O200" s="181"/>
      <c r="W200" s="181"/>
      <c r="AE200" s="181"/>
      <c r="AM200" s="181"/>
      <c r="AU200" s="181"/>
      <c r="BC200" s="181"/>
      <c r="BK200" s="181"/>
      <c r="BS200" s="181"/>
      <c r="CA200" s="181"/>
      <c r="CI200" s="181"/>
      <c r="CQ200" s="181"/>
      <c r="CY200" s="181"/>
      <c r="DG200" s="181"/>
      <c r="DO200" s="181"/>
      <c r="DW200" s="181"/>
      <c r="EE200" s="181"/>
      <c r="EM200" s="181"/>
      <c r="EU200" s="181"/>
      <c r="FC200" s="181"/>
      <c r="FK200" s="181"/>
      <c r="FS200" s="181"/>
      <c r="GA200" s="181"/>
      <c r="GI200" s="181"/>
      <c r="GQ200" s="181"/>
      <c r="GY200" s="181"/>
      <c r="HG200" s="181"/>
      <c r="HO200" s="181"/>
      <c r="HW200" s="181"/>
      <c r="IE200" s="181"/>
      <c r="IM200" s="181"/>
      <c r="IU200" s="181"/>
    </row>
    <row r="201" spans="7:255" ht="14.25">
      <c r="G201" s="181"/>
      <c r="O201" s="181"/>
      <c r="W201" s="181"/>
      <c r="AE201" s="181"/>
      <c r="AM201" s="181"/>
      <c r="AU201" s="181"/>
      <c r="BC201" s="181"/>
      <c r="BK201" s="181"/>
      <c r="BS201" s="181"/>
      <c r="CA201" s="181"/>
      <c r="CI201" s="181"/>
      <c r="CQ201" s="181"/>
      <c r="CY201" s="181"/>
      <c r="DG201" s="181"/>
      <c r="DO201" s="181"/>
      <c r="DW201" s="181"/>
      <c r="EE201" s="181"/>
      <c r="EM201" s="181"/>
      <c r="EU201" s="181"/>
      <c r="FC201" s="181"/>
      <c r="FK201" s="181"/>
      <c r="FS201" s="181"/>
      <c r="GA201" s="181"/>
      <c r="GI201" s="181"/>
      <c r="GQ201" s="181"/>
      <c r="GY201" s="181"/>
      <c r="HG201" s="181"/>
      <c r="HO201" s="181"/>
      <c r="HW201" s="181"/>
      <c r="IE201" s="181"/>
      <c r="IM201" s="181"/>
      <c r="IU201" s="181"/>
    </row>
    <row r="202" spans="7:255" ht="14.25">
      <c r="G202" s="181"/>
      <c r="O202" s="181"/>
      <c r="W202" s="181"/>
      <c r="AE202" s="181"/>
      <c r="AM202" s="181"/>
      <c r="AU202" s="181"/>
      <c r="BC202" s="181"/>
      <c r="BK202" s="181"/>
      <c r="BS202" s="181"/>
      <c r="CA202" s="181"/>
      <c r="CI202" s="181"/>
      <c r="CQ202" s="181"/>
      <c r="CY202" s="181"/>
      <c r="DG202" s="181"/>
      <c r="DO202" s="181"/>
      <c r="DW202" s="181"/>
      <c r="EE202" s="181"/>
      <c r="EM202" s="181"/>
      <c r="EU202" s="181"/>
      <c r="FC202" s="181"/>
      <c r="FK202" s="181"/>
      <c r="FS202" s="181"/>
      <c r="GA202" s="181"/>
      <c r="GI202" s="181"/>
      <c r="GQ202" s="181"/>
      <c r="GY202" s="181"/>
      <c r="HG202" s="181"/>
      <c r="HO202" s="181"/>
      <c r="HW202" s="181"/>
      <c r="IE202" s="181"/>
      <c r="IM202" s="181"/>
      <c r="IU202" s="181"/>
    </row>
    <row r="203" spans="7:255" ht="14.25">
      <c r="G203" s="181"/>
      <c r="O203" s="181"/>
      <c r="W203" s="181"/>
      <c r="AE203" s="181"/>
      <c r="AM203" s="181"/>
      <c r="AU203" s="181"/>
      <c r="BC203" s="181"/>
      <c r="BK203" s="181"/>
      <c r="BS203" s="181"/>
      <c r="CA203" s="181"/>
      <c r="CI203" s="181"/>
      <c r="CQ203" s="181"/>
      <c r="CY203" s="181"/>
      <c r="DG203" s="181"/>
      <c r="DO203" s="181"/>
      <c r="DW203" s="181"/>
      <c r="EE203" s="181"/>
      <c r="EM203" s="181"/>
      <c r="EU203" s="181"/>
      <c r="FC203" s="181"/>
      <c r="FK203" s="181"/>
      <c r="FS203" s="181"/>
      <c r="GA203" s="181"/>
      <c r="GI203" s="181"/>
      <c r="GQ203" s="181"/>
      <c r="GY203" s="181"/>
      <c r="HG203" s="181"/>
      <c r="HO203" s="181"/>
      <c r="HW203" s="181"/>
      <c r="IE203" s="181"/>
      <c r="IM203" s="181"/>
      <c r="IU203" s="181"/>
    </row>
    <row r="204" spans="7:255" ht="14.25">
      <c r="G204" s="181"/>
      <c r="O204" s="181"/>
      <c r="W204" s="181"/>
      <c r="AE204" s="181"/>
      <c r="AM204" s="181"/>
      <c r="AU204" s="181"/>
      <c r="BC204" s="181"/>
      <c r="BK204" s="181"/>
      <c r="BS204" s="181"/>
      <c r="CA204" s="181"/>
      <c r="CI204" s="181"/>
      <c r="CQ204" s="181"/>
      <c r="CY204" s="181"/>
      <c r="DG204" s="181"/>
      <c r="DO204" s="181"/>
      <c r="DW204" s="181"/>
      <c r="EE204" s="181"/>
      <c r="EM204" s="181"/>
      <c r="EU204" s="181"/>
      <c r="FC204" s="181"/>
      <c r="FK204" s="181"/>
      <c r="FS204" s="181"/>
      <c r="GA204" s="181"/>
      <c r="GI204" s="181"/>
      <c r="GQ204" s="181"/>
      <c r="GY204" s="181"/>
      <c r="HG204" s="181"/>
      <c r="HO204" s="181"/>
      <c r="HW204" s="181"/>
      <c r="IE204" s="181"/>
      <c r="IM204" s="181"/>
      <c r="IU204" s="181"/>
    </row>
    <row r="205" spans="7:255" ht="14.25">
      <c r="G205" s="181"/>
      <c r="O205" s="181"/>
      <c r="W205" s="181"/>
      <c r="AE205" s="181"/>
      <c r="AM205" s="181"/>
      <c r="AU205" s="181"/>
      <c r="BC205" s="181"/>
      <c r="BK205" s="181"/>
      <c r="BS205" s="181"/>
      <c r="CA205" s="181"/>
      <c r="CI205" s="181"/>
      <c r="CQ205" s="181"/>
      <c r="CY205" s="181"/>
      <c r="DG205" s="181"/>
      <c r="DO205" s="181"/>
      <c r="DW205" s="181"/>
      <c r="EE205" s="181"/>
      <c r="EM205" s="181"/>
      <c r="EU205" s="181"/>
      <c r="FC205" s="181"/>
      <c r="FK205" s="181"/>
      <c r="FS205" s="181"/>
      <c r="GA205" s="181"/>
      <c r="GI205" s="181"/>
      <c r="GQ205" s="181"/>
      <c r="GY205" s="181"/>
      <c r="HG205" s="181"/>
      <c r="HO205" s="181"/>
      <c r="HW205" s="181"/>
      <c r="IE205" s="181"/>
      <c r="IM205" s="181"/>
      <c r="IU205" s="181"/>
    </row>
    <row r="206" spans="7:255" ht="14.25">
      <c r="G206" s="181"/>
      <c r="O206" s="181"/>
      <c r="W206" s="181"/>
      <c r="AE206" s="181"/>
      <c r="AM206" s="181"/>
      <c r="AU206" s="181"/>
      <c r="BC206" s="181"/>
      <c r="BK206" s="181"/>
      <c r="BS206" s="181"/>
      <c r="CA206" s="181"/>
      <c r="CI206" s="181"/>
      <c r="CQ206" s="181"/>
      <c r="CY206" s="181"/>
      <c r="DG206" s="181"/>
      <c r="DO206" s="181"/>
      <c r="DW206" s="181"/>
      <c r="EE206" s="181"/>
      <c r="EM206" s="181"/>
      <c r="EU206" s="181"/>
      <c r="FC206" s="181"/>
      <c r="FK206" s="181"/>
      <c r="FS206" s="181"/>
      <c r="GA206" s="181"/>
      <c r="GI206" s="181"/>
      <c r="GQ206" s="181"/>
      <c r="GY206" s="181"/>
      <c r="HG206" s="181"/>
      <c r="HO206" s="181"/>
      <c r="HW206" s="181"/>
      <c r="IE206" s="181"/>
      <c r="IM206" s="181"/>
      <c r="IU206" s="181"/>
    </row>
    <row r="207" spans="7:255" ht="14.25">
      <c r="G207" s="181"/>
      <c r="O207" s="181"/>
      <c r="W207" s="181"/>
      <c r="AE207" s="181"/>
      <c r="AM207" s="181"/>
      <c r="AU207" s="181"/>
      <c r="BC207" s="181"/>
      <c r="BK207" s="181"/>
      <c r="BS207" s="181"/>
      <c r="CA207" s="181"/>
      <c r="CI207" s="181"/>
      <c r="CQ207" s="181"/>
      <c r="CY207" s="181"/>
      <c r="DG207" s="181"/>
      <c r="DO207" s="181"/>
      <c r="DW207" s="181"/>
      <c r="EE207" s="181"/>
      <c r="EM207" s="181"/>
      <c r="EU207" s="181"/>
      <c r="FC207" s="181"/>
      <c r="FK207" s="181"/>
      <c r="FS207" s="181"/>
      <c r="GA207" s="181"/>
      <c r="GI207" s="181"/>
      <c r="GQ207" s="181"/>
      <c r="GY207" s="181"/>
      <c r="HG207" s="181"/>
      <c r="HO207" s="181"/>
      <c r="HW207" s="181"/>
      <c r="IE207" s="181"/>
      <c r="IM207" s="181"/>
      <c r="IU207" s="181"/>
    </row>
    <row r="208" spans="7:255" ht="14.25">
      <c r="G208" s="181"/>
      <c r="O208" s="181"/>
      <c r="W208" s="181"/>
      <c r="AE208" s="181"/>
      <c r="AM208" s="181"/>
      <c r="AU208" s="181"/>
      <c r="BC208" s="181"/>
      <c r="BK208" s="181"/>
      <c r="BS208" s="181"/>
      <c r="CA208" s="181"/>
      <c r="CI208" s="181"/>
      <c r="CQ208" s="181"/>
      <c r="CY208" s="181"/>
      <c r="DG208" s="181"/>
      <c r="DO208" s="181"/>
      <c r="DW208" s="181"/>
      <c r="EE208" s="181"/>
      <c r="EM208" s="181"/>
      <c r="EU208" s="181"/>
      <c r="FC208" s="181"/>
      <c r="FK208" s="181"/>
      <c r="FS208" s="181"/>
      <c r="GA208" s="181"/>
      <c r="GI208" s="181"/>
      <c r="GQ208" s="181"/>
      <c r="GY208" s="181"/>
      <c r="HG208" s="181"/>
      <c r="HO208" s="181"/>
      <c r="HW208" s="181"/>
      <c r="IE208" s="181"/>
      <c r="IM208" s="181"/>
      <c r="IU208" s="181"/>
    </row>
    <row r="209" spans="7:255" ht="14.25">
      <c r="G209" s="181"/>
      <c r="O209" s="181"/>
      <c r="W209" s="181"/>
      <c r="AE209" s="181"/>
      <c r="AM209" s="181"/>
      <c r="AU209" s="181"/>
      <c r="BC209" s="181"/>
      <c r="BK209" s="181"/>
      <c r="BS209" s="181"/>
      <c r="CA209" s="181"/>
      <c r="CI209" s="181"/>
      <c r="CQ209" s="181"/>
      <c r="CY209" s="181"/>
      <c r="DG209" s="181"/>
      <c r="DO209" s="181"/>
      <c r="DW209" s="181"/>
      <c r="EE209" s="181"/>
      <c r="EM209" s="181"/>
      <c r="EU209" s="181"/>
      <c r="FC209" s="181"/>
      <c r="FK209" s="181"/>
      <c r="FS209" s="181"/>
      <c r="GA209" s="181"/>
      <c r="GI209" s="181"/>
      <c r="GQ209" s="181"/>
      <c r="GY209" s="181"/>
      <c r="HG209" s="181"/>
      <c r="HO209" s="181"/>
      <c r="HW209" s="181"/>
      <c r="IE209" s="181"/>
      <c r="IM209" s="181"/>
      <c r="IU209" s="181"/>
    </row>
    <row r="210" spans="7:255" ht="14.25">
      <c r="G210" s="181"/>
      <c r="O210" s="181"/>
      <c r="W210" s="181"/>
      <c r="AE210" s="181"/>
      <c r="AM210" s="181"/>
      <c r="AU210" s="181"/>
      <c r="BC210" s="181"/>
      <c r="BK210" s="181"/>
      <c r="BS210" s="181"/>
      <c r="CA210" s="181"/>
      <c r="CI210" s="181"/>
      <c r="CQ210" s="181"/>
      <c r="CY210" s="181"/>
      <c r="DG210" s="181"/>
      <c r="DO210" s="181"/>
      <c r="DW210" s="181"/>
      <c r="EE210" s="181"/>
      <c r="EM210" s="181"/>
      <c r="EU210" s="181"/>
      <c r="FC210" s="181"/>
      <c r="FK210" s="181"/>
      <c r="FS210" s="181"/>
      <c r="GA210" s="181"/>
      <c r="GI210" s="181"/>
      <c r="GQ210" s="181"/>
      <c r="GY210" s="181"/>
      <c r="HG210" s="181"/>
      <c r="HO210" s="181"/>
      <c r="HW210" s="181"/>
      <c r="IE210" s="181"/>
      <c r="IM210" s="181"/>
      <c r="IU210" s="181"/>
    </row>
    <row r="211" spans="7:255" ht="14.25">
      <c r="G211" s="181"/>
      <c r="O211" s="181"/>
      <c r="W211" s="181"/>
      <c r="AE211" s="181"/>
      <c r="AM211" s="181"/>
      <c r="AU211" s="181"/>
      <c r="BC211" s="181"/>
      <c r="BK211" s="181"/>
      <c r="BS211" s="181"/>
      <c r="CA211" s="181"/>
      <c r="CI211" s="181"/>
      <c r="CQ211" s="181"/>
      <c r="CY211" s="181"/>
      <c r="DG211" s="181"/>
      <c r="DO211" s="181"/>
      <c r="DW211" s="181"/>
      <c r="EE211" s="181"/>
      <c r="EM211" s="181"/>
      <c r="EU211" s="181"/>
      <c r="FC211" s="181"/>
      <c r="FK211" s="181"/>
      <c r="FS211" s="181"/>
      <c r="GA211" s="181"/>
      <c r="GI211" s="181"/>
      <c r="GQ211" s="181"/>
      <c r="GY211" s="181"/>
      <c r="HG211" s="181"/>
      <c r="HO211" s="181"/>
      <c r="HW211" s="181"/>
      <c r="IE211" s="181"/>
      <c r="IM211" s="181"/>
      <c r="IU211" s="181"/>
    </row>
    <row r="212" spans="7:255" ht="14.25">
      <c r="G212" s="181"/>
      <c r="O212" s="181"/>
      <c r="W212" s="181"/>
      <c r="AE212" s="181"/>
      <c r="AM212" s="181"/>
      <c r="AU212" s="181"/>
      <c r="BC212" s="181"/>
      <c r="BK212" s="181"/>
      <c r="BS212" s="181"/>
      <c r="CA212" s="181"/>
      <c r="CI212" s="181"/>
      <c r="CQ212" s="181"/>
      <c r="CY212" s="181"/>
      <c r="DG212" s="181"/>
      <c r="DO212" s="181"/>
      <c r="DW212" s="181"/>
      <c r="EE212" s="181"/>
      <c r="EM212" s="181"/>
      <c r="EU212" s="181"/>
      <c r="FC212" s="181"/>
      <c r="FK212" s="181"/>
      <c r="FS212" s="181"/>
      <c r="GA212" s="181"/>
      <c r="GI212" s="181"/>
      <c r="GQ212" s="181"/>
      <c r="GY212" s="181"/>
      <c r="HG212" s="181"/>
      <c r="HO212" s="181"/>
      <c r="HW212" s="181"/>
      <c r="IE212" s="181"/>
      <c r="IM212" s="181"/>
      <c r="IU212" s="181"/>
    </row>
    <row r="213" spans="7:255" ht="14.25">
      <c r="G213" s="181"/>
      <c r="O213" s="181"/>
      <c r="W213" s="181"/>
      <c r="AE213" s="181"/>
      <c r="AM213" s="181"/>
      <c r="AU213" s="181"/>
      <c r="BC213" s="181"/>
      <c r="BK213" s="181"/>
      <c r="BS213" s="181"/>
      <c r="CA213" s="181"/>
      <c r="CI213" s="181"/>
      <c r="CQ213" s="181"/>
      <c r="CY213" s="181"/>
      <c r="DG213" s="181"/>
      <c r="DO213" s="181"/>
      <c r="DW213" s="181"/>
      <c r="EE213" s="181"/>
      <c r="EM213" s="181"/>
      <c r="EU213" s="181"/>
      <c r="FC213" s="181"/>
      <c r="FK213" s="181"/>
      <c r="FS213" s="181"/>
      <c r="GA213" s="181"/>
      <c r="GI213" s="181"/>
      <c r="GQ213" s="181"/>
      <c r="GY213" s="181"/>
      <c r="HG213" s="181"/>
      <c r="HO213" s="181"/>
      <c r="HW213" s="181"/>
      <c r="IE213" s="181"/>
      <c r="IM213" s="181"/>
      <c r="IU213" s="181"/>
    </row>
    <row r="214" spans="7:255" ht="14.25">
      <c r="G214" s="181"/>
      <c r="O214" s="181"/>
      <c r="W214" s="181"/>
      <c r="AE214" s="181"/>
      <c r="AM214" s="181"/>
      <c r="AU214" s="181"/>
      <c r="BC214" s="181"/>
      <c r="BK214" s="181"/>
      <c r="BS214" s="181"/>
      <c r="CA214" s="181"/>
      <c r="CI214" s="181"/>
      <c r="CQ214" s="181"/>
      <c r="CY214" s="181"/>
      <c r="DG214" s="181"/>
      <c r="DO214" s="181"/>
      <c r="DW214" s="181"/>
      <c r="EE214" s="181"/>
      <c r="EM214" s="181"/>
      <c r="EU214" s="181"/>
      <c r="FC214" s="181"/>
      <c r="FK214" s="181"/>
      <c r="FS214" s="181"/>
      <c r="GA214" s="181"/>
      <c r="GI214" s="181"/>
      <c r="GQ214" s="181"/>
      <c r="GY214" s="181"/>
      <c r="HG214" s="181"/>
      <c r="HO214" s="181"/>
      <c r="HW214" s="181"/>
      <c r="IE214" s="181"/>
      <c r="IM214" s="181"/>
      <c r="IU214" s="181"/>
    </row>
    <row r="215" spans="7:255" ht="14.25">
      <c r="G215" s="181"/>
      <c r="O215" s="181"/>
      <c r="W215" s="181"/>
      <c r="AE215" s="181"/>
      <c r="AM215" s="181"/>
      <c r="AU215" s="181"/>
      <c r="BC215" s="181"/>
      <c r="BK215" s="181"/>
      <c r="BS215" s="181"/>
      <c r="CA215" s="181"/>
      <c r="CI215" s="181"/>
      <c r="CQ215" s="181"/>
      <c r="CY215" s="181"/>
      <c r="DG215" s="181"/>
      <c r="DO215" s="181"/>
      <c r="DW215" s="181"/>
      <c r="EE215" s="181"/>
      <c r="EM215" s="181"/>
      <c r="EU215" s="181"/>
      <c r="FC215" s="181"/>
      <c r="FK215" s="181"/>
      <c r="FS215" s="181"/>
      <c r="GA215" s="181"/>
      <c r="GI215" s="181"/>
      <c r="GQ215" s="181"/>
      <c r="GY215" s="181"/>
      <c r="HG215" s="181"/>
      <c r="HO215" s="181"/>
      <c r="HW215" s="181"/>
      <c r="IE215" s="181"/>
      <c r="IM215" s="181"/>
      <c r="IU215" s="181"/>
    </row>
    <row r="216" spans="7:255" ht="14.25">
      <c r="G216" s="181"/>
      <c r="O216" s="181"/>
      <c r="W216" s="181"/>
      <c r="AE216" s="181"/>
      <c r="AM216" s="181"/>
      <c r="AU216" s="181"/>
      <c r="BC216" s="181"/>
      <c r="BK216" s="181"/>
      <c r="BS216" s="181"/>
      <c r="CA216" s="181"/>
      <c r="CI216" s="181"/>
      <c r="CQ216" s="181"/>
      <c r="CY216" s="181"/>
      <c r="DG216" s="181"/>
      <c r="DO216" s="181"/>
      <c r="DW216" s="181"/>
      <c r="EE216" s="181"/>
      <c r="EM216" s="181"/>
      <c r="EU216" s="181"/>
      <c r="FC216" s="181"/>
      <c r="FK216" s="181"/>
      <c r="FS216" s="181"/>
      <c r="GA216" s="181"/>
      <c r="GI216" s="181"/>
      <c r="GQ216" s="181"/>
      <c r="GY216" s="181"/>
      <c r="HG216" s="181"/>
      <c r="HO216" s="181"/>
      <c r="HW216" s="181"/>
      <c r="IE216" s="181"/>
      <c r="IM216" s="181"/>
      <c r="IU216" s="181"/>
    </row>
    <row r="217" spans="7:255" ht="14.25">
      <c r="G217" s="181"/>
      <c r="O217" s="181"/>
      <c r="W217" s="181"/>
      <c r="AE217" s="181"/>
      <c r="AM217" s="181"/>
      <c r="AU217" s="181"/>
      <c r="BC217" s="181"/>
      <c r="BK217" s="181"/>
      <c r="BS217" s="181"/>
      <c r="CA217" s="181"/>
      <c r="CI217" s="181"/>
      <c r="CQ217" s="181"/>
      <c r="CY217" s="181"/>
      <c r="DG217" s="181"/>
      <c r="DO217" s="181"/>
      <c r="DW217" s="181"/>
      <c r="EE217" s="181"/>
      <c r="EM217" s="181"/>
      <c r="EU217" s="181"/>
      <c r="FC217" s="181"/>
      <c r="FK217" s="181"/>
      <c r="FS217" s="181"/>
      <c r="GA217" s="181"/>
      <c r="GI217" s="181"/>
      <c r="GQ217" s="181"/>
      <c r="GY217" s="181"/>
      <c r="HG217" s="181"/>
      <c r="HO217" s="181"/>
      <c r="HW217" s="181"/>
      <c r="IE217" s="181"/>
      <c r="IM217" s="181"/>
      <c r="IU217" s="181"/>
    </row>
    <row r="218" spans="7:255" ht="14.25">
      <c r="G218" s="181"/>
      <c r="O218" s="181"/>
      <c r="W218" s="181"/>
      <c r="AE218" s="181"/>
      <c r="AM218" s="181"/>
      <c r="AU218" s="181"/>
      <c r="BC218" s="181"/>
      <c r="BK218" s="181"/>
      <c r="BS218" s="181"/>
      <c r="CA218" s="181"/>
      <c r="CI218" s="181"/>
      <c r="CQ218" s="181"/>
      <c r="CY218" s="181"/>
      <c r="DG218" s="181"/>
      <c r="DO218" s="181"/>
      <c r="DW218" s="181"/>
      <c r="EE218" s="181"/>
      <c r="EM218" s="181"/>
      <c r="EU218" s="181"/>
      <c r="FC218" s="181"/>
      <c r="FK218" s="181"/>
      <c r="FS218" s="181"/>
      <c r="GA218" s="181"/>
      <c r="GI218" s="181"/>
      <c r="GQ218" s="181"/>
      <c r="GY218" s="181"/>
      <c r="HG218" s="181"/>
      <c r="HO218" s="181"/>
      <c r="HW218" s="181"/>
      <c r="IE218" s="181"/>
      <c r="IM218" s="181"/>
      <c r="IU218" s="181"/>
    </row>
    <row r="219" spans="7:255" ht="14.25">
      <c r="G219" s="181"/>
      <c r="O219" s="181"/>
      <c r="W219" s="181"/>
      <c r="AE219" s="181"/>
      <c r="AM219" s="181"/>
      <c r="AU219" s="181"/>
      <c r="BC219" s="181"/>
      <c r="BK219" s="181"/>
      <c r="BS219" s="181"/>
      <c r="CA219" s="181"/>
      <c r="CI219" s="181"/>
      <c r="CQ219" s="181"/>
      <c r="CY219" s="181"/>
      <c r="DG219" s="181"/>
      <c r="DO219" s="181"/>
      <c r="DW219" s="181"/>
      <c r="EE219" s="181"/>
      <c r="EM219" s="181"/>
      <c r="EU219" s="181"/>
      <c r="FC219" s="181"/>
      <c r="FK219" s="181"/>
      <c r="FS219" s="181"/>
      <c r="GA219" s="181"/>
      <c r="GI219" s="181"/>
      <c r="GQ219" s="181"/>
      <c r="GY219" s="181"/>
      <c r="HG219" s="181"/>
      <c r="HO219" s="181"/>
      <c r="HW219" s="181"/>
      <c r="IE219" s="181"/>
      <c r="IM219" s="181"/>
      <c r="IU219" s="181"/>
    </row>
    <row r="220" spans="7:255" ht="14.25">
      <c r="G220" s="181"/>
      <c r="O220" s="181"/>
      <c r="W220" s="181"/>
      <c r="AE220" s="181"/>
      <c r="AM220" s="181"/>
      <c r="AU220" s="181"/>
      <c r="BC220" s="181"/>
      <c r="BK220" s="181"/>
      <c r="BS220" s="181"/>
      <c r="CA220" s="181"/>
      <c r="CI220" s="181"/>
      <c r="CQ220" s="181"/>
      <c r="CY220" s="181"/>
      <c r="DG220" s="181"/>
      <c r="DO220" s="181"/>
      <c r="DW220" s="181"/>
      <c r="EE220" s="181"/>
      <c r="EM220" s="181"/>
      <c r="EU220" s="181"/>
      <c r="FC220" s="181"/>
      <c r="FK220" s="181"/>
      <c r="FS220" s="181"/>
      <c r="GA220" s="181"/>
      <c r="GI220" s="181"/>
      <c r="GQ220" s="181"/>
      <c r="GY220" s="181"/>
      <c r="HG220" s="181"/>
      <c r="HO220" s="181"/>
      <c r="HW220" s="181"/>
      <c r="IE220" s="181"/>
      <c r="IM220" s="181"/>
      <c r="IU220" s="181"/>
    </row>
    <row r="221" spans="7:255" ht="14.25">
      <c r="G221" s="181"/>
      <c r="O221" s="181"/>
      <c r="W221" s="181"/>
      <c r="AE221" s="181"/>
      <c r="AM221" s="181"/>
      <c r="AU221" s="181"/>
      <c r="BC221" s="181"/>
      <c r="BK221" s="181"/>
      <c r="BS221" s="181"/>
      <c r="CA221" s="181"/>
      <c r="CI221" s="181"/>
      <c r="CQ221" s="181"/>
      <c r="CY221" s="181"/>
      <c r="DG221" s="181"/>
      <c r="DO221" s="181"/>
      <c r="DW221" s="181"/>
      <c r="EE221" s="181"/>
      <c r="EM221" s="181"/>
      <c r="EU221" s="181"/>
      <c r="FC221" s="181"/>
      <c r="FK221" s="181"/>
      <c r="FS221" s="181"/>
      <c r="GA221" s="181"/>
      <c r="GI221" s="181"/>
      <c r="GQ221" s="181"/>
      <c r="GY221" s="181"/>
      <c r="HG221" s="181"/>
      <c r="HO221" s="181"/>
      <c r="HW221" s="181"/>
      <c r="IE221" s="181"/>
      <c r="IM221" s="181"/>
      <c r="IU221" s="181"/>
    </row>
    <row r="222" spans="7:255" ht="14.25">
      <c r="G222" s="181"/>
      <c r="O222" s="181"/>
      <c r="W222" s="181"/>
      <c r="AE222" s="181"/>
      <c r="AM222" s="181"/>
      <c r="AU222" s="181"/>
      <c r="BC222" s="181"/>
      <c r="BK222" s="181"/>
      <c r="BS222" s="181"/>
      <c r="CA222" s="181"/>
      <c r="CI222" s="181"/>
      <c r="CQ222" s="181"/>
      <c r="CY222" s="181"/>
      <c r="DG222" s="181"/>
      <c r="DO222" s="181"/>
      <c r="DW222" s="181"/>
      <c r="EE222" s="181"/>
      <c r="EM222" s="181"/>
      <c r="EU222" s="181"/>
      <c r="FC222" s="181"/>
      <c r="FK222" s="181"/>
      <c r="FS222" s="181"/>
      <c r="GA222" s="181"/>
      <c r="GI222" s="181"/>
      <c r="GQ222" s="181"/>
      <c r="GY222" s="181"/>
      <c r="HG222" s="181"/>
      <c r="HO222" s="181"/>
      <c r="HW222" s="181"/>
      <c r="IE222" s="181"/>
      <c r="IM222" s="181"/>
      <c r="IU222" s="181"/>
    </row>
    <row r="223" spans="7:255" ht="14.25">
      <c r="G223" s="181"/>
      <c r="O223" s="181"/>
      <c r="W223" s="181"/>
      <c r="AE223" s="181"/>
      <c r="AM223" s="181"/>
      <c r="AU223" s="181"/>
      <c r="BC223" s="181"/>
      <c r="BK223" s="181"/>
      <c r="BS223" s="181"/>
      <c r="CA223" s="181"/>
      <c r="CI223" s="181"/>
      <c r="CQ223" s="181"/>
      <c r="CY223" s="181"/>
      <c r="DG223" s="181"/>
      <c r="DO223" s="181"/>
      <c r="DW223" s="181"/>
      <c r="EE223" s="181"/>
      <c r="EM223" s="181"/>
      <c r="EU223" s="181"/>
      <c r="FC223" s="181"/>
      <c r="FK223" s="181"/>
      <c r="FS223" s="181"/>
      <c r="GA223" s="181"/>
      <c r="GI223" s="181"/>
      <c r="GQ223" s="181"/>
      <c r="GY223" s="181"/>
      <c r="HG223" s="181"/>
      <c r="HO223" s="181"/>
      <c r="HW223" s="181"/>
      <c r="IE223" s="181"/>
      <c r="IM223" s="181"/>
      <c r="IU223" s="181"/>
    </row>
    <row r="224" spans="7:255" ht="14.25">
      <c r="G224" s="181"/>
      <c r="O224" s="181"/>
      <c r="W224" s="181"/>
      <c r="AE224" s="181"/>
      <c r="AM224" s="181"/>
      <c r="AU224" s="181"/>
      <c r="BC224" s="181"/>
      <c r="BK224" s="181"/>
      <c r="BS224" s="181"/>
      <c r="CA224" s="181"/>
      <c r="CI224" s="181"/>
      <c r="CQ224" s="181"/>
      <c r="CY224" s="181"/>
      <c r="DG224" s="181"/>
      <c r="DO224" s="181"/>
      <c r="DW224" s="181"/>
      <c r="EE224" s="181"/>
      <c r="EM224" s="181"/>
      <c r="EU224" s="181"/>
      <c r="FC224" s="181"/>
      <c r="FK224" s="181"/>
      <c r="FS224" s="181"/>
      <c r="GA224" s="181"/>
      <c r="GI224" s="181"/>
      <c r="GQ224" s="181"/>
      <c r="GY224" s="181"/>
      <c r="HG224" s="181"/>
      <c r="HO224" s="181"/>
      <c r="HW224" s="181"/>
      <c r="IE224" s="181"/>
      <c r="IM224" s="181"/>
      <c r="IU224" s="181"/>
    </row>
    <row r="225" spans="7:255" ht="14.25">
      <c r="G225" s="181"/>
      <c r="O225" s="181"/>
      <c r="W225" s="181"/>
      <c r="AE225" s="181"/>
      <c r="AM225" s="181"/>
      <c r="AU225" s="181"/>
      <c r="BC225" s="181"/>
      <c r="BK225" s="181"/>
      <c r="BS225" s="181"/>
      <c r="CA225" s="181"/>
      <c r="CI225" s="181"/>
      <c r="CQ225" s="181"/>
      <c r="CY225" s="181"/>
      <c r="DG225" s="181"/>
      <c r="DO225" s="181"/>
      <c r="DW225" s="181"/>
      <c r="EE225" s="181"/>
      <c r="EM225" s="181"/>
      <c r="EU225" s="181"/>
      <c r="FC225" s="181"/>
      <c r="FK225" s="181"/>
      <c r="FS225" s="181"/>
      <c r="GA225" s="181"/>
      <c r="GI225" s="181"/>
      <c r="GQ225" s="181"/>
      <c r="GY225" s="181"/>
      <c r="HG225" s="181"/>
      <c r="HO225" s="181"/>
      <c r="HW225" s="181"/>
      <c r="IE225" s="181"/>
      <c r="IM225" s="181"/>
      <c r="IU225" s="181"/>
    </row>
    <row r="226" spans="7:255" ht="14.25">
      <c r="G226" s="181"/>
      <c r="O226" s="181"/>
      <c r="W226" s="181"/>
      <c r="AE226" s="181"/>
      <c r="AM226" s="181"/>
      <c r="AU226" s="181"/>
      <c r="BC226" s="181"/>
      <c r="BK226" s="181"/>
      <c r="BS226" s="181"/>
      <c r="CA226" s="181"/>
      <c r="CI226" s="181"/>
      <c r="CQ226" s="181"/>
      <c r="CY226" s="181"/>
      <c r="DG226" s="181"/>
      <c r="DO226" s="181"/>
      <c r="DW226" s="181"/>
      <c r="EE226" s="181"/>
      <c r="EM226" s="181"/>
      <c r="EU226" s="181"/>
      <c r="FC226" s="181"/>
      <c r="FK226" s="181"/>
      <c r="FS226" s="181"/>
      <c r="GA226" s="181"/>
      <c r="GI226" s="181"/>
      <c r="GQ226" s="181"/>
      <c r="GY226" s="181"/>
      <c r="HG226" s="181"/>
      <c r="HO226" s="181"/>
      <c r="HW226" s="181"/>
      <c r="IE226" s="181"/>
      <c r="IM226" s="181"/>
      <c r="IU226" s="181"/>
    </row>
    <row r="227" spans="7:255" ht="14.25">
      <c r="G227" s="181"/>
      <c r="O227" s="181"/>
      <c r="W227" s="181"/>
      <c r="AE227" s="181"/>
      <c r="AM227" s="181"/>
      <c r="AU227" s="181"/>
      <c r="BC227" s="181"/>
      <c r="BK227" s="181"/>
      <c r="BS227" s="181"/>
      <c r="CA227" s="181"/>
      <c r="CI227" s="181"/>
      <c r="CQ227" s="181"/>
      <c r="CY227" s="181"/>
      <c r="DG227" s="181"/>
      <c r="DO227" s="181"/>
      <c r="DW227" s="181"/>
      <c r="EE227" s="181"/>
      <c r="EM227" s="181"/>
      <c r="EU227" s="181"/>
      <c r="FC227" s="181"/>
      <c r="FK227" s="181"/>
      <c r="FS227" s="181"/>
      <c r="GA227" s="181"/>
      <c r="GI227" s="181"/>
      <c r="GQ227" s="181"/>
      <c r="GY227" s="181"/>
      <c r="HG227" s="181"/>
      <c r="HO227" s="181"/>
      <c r="HW227" s="181"/>
      <c r="IE227" s="181"/>
      <c r="IM227" s="181"/>
      <c r="IU227" s="181"/>
    </row>
    <row r="228" spans="7:255" ht="14.25">
      <c r="G228" s="181"/>
      <c r="O228" s="181"/>
      <c r="W228" s="181"/>
      <c r="AE228" s="181"/>
      <c r="AM228" s="181"/>
      <c r="AU228" s="181"/>
      <c r="BC228" s="181"/>
      <c r="BK228" s="181"/>
      <c r="BS228" s="181"/>
      <c r="CA228" s="181"/>
      <c r="CI228" s="181"/>
      <c r="CQ228" s="181"/>
      <c r="CY228" s="181"/>
      <c r="DG228" s="181"/>
      <c r="DO228" s="181"/>
      <c r="DW228" s="181"/>
      <c r="EE228" s="181"/>
      <c r="EM228" s="181"/>
      <c r="EU228" s="181"/>
      <c r="FC228" s="181"/>
      <c r="FK228" s="181"/>
      <c r="FS228" s="181"/>
      <c r="GA228" s="181"/>
      <c r="GI228" s="181"/>
      <c r="GQ228" s="181"/>
      <c r="GY228" s="181"/>
      <c r="HG228" s="181"/>
      <c r="HO228" s="181"/>
      <c r="HW228" s="181"/>
      <c r="IE228" s="181"/>
      <c r="IM228" s="181"/>
      <c r="IU228" s="181"/>
    </row>
    <row r="229" spans="7:255" ht="14.25">
      <c r="G229" s="181"/>
      <c r="O229" s="181"/>
      <c r="W229" s="181"/>
      <c r="AE229" s="181"/>
      <c r="AM229" s="181"/>
      <c r="AU229" s="181"/>
      <c r="BC229" s="181"/>
      <c r="BK229" s="181"/>
      <c r="BS229" s="181"/>
      <c r="CA229" s="181"/>
      <c r="CI229" s="181"/>
      <c r="CQ229" s="181"/>
      <c r="CY229" s="181"/>
      <c r="DG229" s="181"/>
      <c r="DO229" s="181"/>
      <c r="DW229" s="181"/>
      <c r="EE229" s="181"/>
      <c r="EM229" s="181"/>
      <c r="EU229" s="181"/>
      <c r="FC229" s="181"/>
      <c r="FK229" s="181"/>
      <c r="FS229" s="181"/>
      <c r="GA229" s="181"/>
      <c r="GI229" s="181"/>
      <c r="GQ229" s="181"/>
      <c r="GY229" s="181"/>
      <c r="HG229" s="181"/>
      <c r="HO229" s="181"/>
      <c r="HW229" s="181"/>
      <c r="IE229" s="181"/>
      <c r="IM229" s="181"/>
      <c r="IU229" s="181"/>
    </row>
    <row r="230" spans="7:255" ht="14.25">
      <c r="G230" s="181"/>
      <c r="O230" s="181"/>
      <c r="W230" s="181"/>
      <c r="AE230" s="181"/>
      <c r="AM230" s="181"/>
      <c r="AU230" s="181"/>
      <c r="BC230" s="181"/>
      <c r="BK230" s="181"/>
      <c r="BS230" s="181"/>
      <c r="CA230" s="181"/>
      <c r="CI230" s="181"/>
      <c r="CQ230" s="181"/>
      <c r="CY230" s="181"/>
      <c r="DG230" s="181"/>
      <c r="DO230" s="181"/>
      <c r="DW230" s="181"/>
      <c r="EE230" s="181"/>
      <c r="EM230" s="181"/>
      <c r="EU230" s="181"/>
      <c r="FC230" s="181"/>
      <c r="FK230" s="181"/>
      <c r="FS230" s="181"/>
      <c r="GA230" s="181"/>
      <c r="GI230" s="181"/>
      <c r="GQ230" s="181"/>
      <c r="GY230" s="181"/>
      <c r="HG230" s="181"/>
      <c r="HO230" s="181"/>
      <c r="HW230" s="181"/>
      <c r="IE230" s="181"/>
      <c r="IM230" s="181"/>
      <c r="IU230" s="181"/>
    </row>
    <row r="231" spans="7:255" ht="14.25">
      <c r="G231" s="181"/>
      <c r="O231" s="181"/>
      <c r="W231" s="181"/>
      <c r="AE231" s="181"/>
      <c r="AM231" s="181"/>
      <c r="AU231" s="181"/>
      <c r="BC231" s="181"/>
      <c r="BK231" s="181"/>
      <c r="BS231" s="181"/>
      <c r="CA231" s="181"/>
      <c r="CI231" s="181"/>
      <c r="CQ231" s="181"/>
      <c r="CY231" s="181"/>
      <c r="DG231" s="181"/>
      <c r="DO231" s="181"/>
      <c r="DW231" s="181"/>
      <c r="EE231" s="181"/>
      <c r="EM231" s="181"/>
      <c r="EU231" s="181"/>
      <c r="FC231" s="181"/>
      <c r="FK231" s="181"/>
      <c r="FS231" s="181"/>
      <c r="GA231" s="181"/>
      <c r="GI231" s="181"/>
      <c r="GQ231" s="181"/>
      <c r="GY231" s="181"/>
      <c r="HG231" s="181"/>
      <c r="HO231" s="181"/>
      <c r="HW231" s="181"/>
      <c r="IE231" s="181"/>
      <c r="IM231" s="181"/>
      <c r="IU231" s="181"/>
    </row>
    <row r="232" spans="7:255" ht="14.25">
      <c r="G232" s="181"/>
      <c r="O232" s="181"/>
      <c r="W232" s="181"/>
      <c r="AE232" s="181"/>
      <c r="AM232" s="181"/>
      <c r="AU232" s="181"/>
      <c r="BC232" s="181"/>
      <c r="BK232" s="181"/>
      <c r="BS232" s="181"/>
      <c r="CA232" s="181"/>
      <c r="CI232" s="181"/>
      <c r="CQ232" s="181"/>
      <c r="CY232" s="181"/>
      <c r="DG232" s="181"/>
      <c r="DO232" s="181"/>
      <c r="DW232" s="181"/>
      <c r="EE232" s="181"/>
      <c r="EM232" s="181"/>
      <c r="EU232" s="181"/>
      <c r="FC232" s="181"/>
      <c r="FK232" s="181"/>
      <c r="FS232" s="181"/>
      <c r="GA232" s="181"/>
      <c r="GI232" s="181"/>
      <c r="GQ232" s="181"/>
      <c r="GY232" s="181"/>
      <c r="HG232" s="181"/>
      <c r="HO232" s="181"/>
      <c r="HW232" s="181"/>
      <c r="IE232" s="181"/>
      <c r="IM232" s="181"/>
      <c r="IU232" s="181"/>
    </row>
    <row r="233" spans="7:255" ht="14.25">
      <c r="G233" s="181"/>
      <c r="O233" s="181"/>
      <c r="W233" s="181"/>
      <c r="AE233" s="181"/>
      <c r="AM233" s="181"/>
      <c r="AU233" s="181"/>
      <c r="BC233" s="181"/>
      <c r="BK233" s="181"/>
      <c r="BS233" s="181"/>
      <c r="CA233" s="181"/>
      <c r="CI233" s="181"/>
      <c r="CQ233" s="181"/>
      <c r="CY233" s="181"/>
      <c r="DG233" s="181"/>
      <c r="DO233" s="181"/>
      <c r="DW233" s="181"/>
      <c r="EE233" s="181"/>
      <c r="EM233" s="181"/>
      <c r="EU233" s="181"/>
      <c r="FC233" s="181"/>
      <c r="FK233" s="181"/>
      <c r="FS233" s="181"/>
      <c r="GA233" s="181"/>
      <c r="GI233" s="181"/>
      <c r="GQ233" s="181"/>
      <c r="GY233" s="181"/>
      <c r="HG233" s="181"/>
      <c r="HO233" s="181"/>
      <c r="HW233" s="181"/>
      <c r="IE233" s="181"/>
      <c r="IM233" s="181"/>
      <c r="IU233" s="181"/>
    </row>
    <row r="234" spans="7:255" ht="14.25">
      <c r="G234" s="181"/>
      <c r="O234" s="181"/>
      <c r="W234" s="181"/>
      <c r="AE234" s="181"/>
      <c r="AM234" s="181"/>
      <c r="AU234" s="181"/>
      <c r="BC234" s="181"/>
      <c r="BK234" s="181"/>
      <c r="BS234" s="181"/>
      <c r="CA234" s="181"/>
      <c r="CI234" s="181"/>
      <c r="CQ234" s="181"/>
      <c r="CY234" s="181"/>
      <c r="DG234" s="181"/>
      <c r="DO234" s="181"/>
      <c r="DW234" s="181"/>
      <c r="EE234" s="181"/>
      <c r="EM234" s="181"/>
      <c r="EU234" s="181"/>
      <c r="FC234" s="181"/>
      <c r="FK234" s="181"/>
      <c r="FS234" s="181"/>
      <c r="GA234" s="181"/>
      <c r="GI234" s="181"/>
      <c r="GQ234" s="181"/>
      <c r="GY234" s="181"/>
      <c r="HG234" s="181"/>
      <c r="HO234" s="181"/>
      <c r="HW234" s="181"/>
      <c r="IE234" s="181"/>
      <c r="IM234" s="181"/>
      <c r="IU234" s="181"/>
    </row>
    <row r="235" spans="7:255" ht="14.25">
      <c r="G235" s="181"/>
      <c r="O235" s="181"/>
      <c r="W235" s="181"/>
      <c r="AE235" s="181"/>
      <c r="AM235" s="181"/>
      <c r="AU235" s="181"/>
      <c r="BC235" s="181"/>
      <c r="BK235" s="181"/>
      <c r="BS235" s="181"/>
      <c r="CA235" s="181"/>
      <c r="CI235" s="181"/>
      <c r="CQ235" s="181"/>
      <c r="CY235" s="181"/>
      <c r="DG235" s="181"/>
      <c r="DO235" s="181"/>
      <c r="DW235" s="181"/>
      <c r="EE235" s="181"/>
      <c r="EM235" s="181"/>
      <c r="EU235" s="181"/>
      <c r="FC235" s="181"/>
      <c r="FK235" s="181"/>
      <c r="FS235" s="181"/>
      <c r="GA235" s="181"/>
      <c r="GI235" s="181"/>
      <c r="GQ235" s="181"/>
      <c r="GY235" s="181"/>
      <c r="HG235" s="181"/>
      <c r="HO235" s="181"/>
      <c r="HW235" s="181"/>
      <c r="IE235" s="181"/>
      <c r="IM235" s="181"/>
      <c r="IU235" s="181"/>
    </row>
    <row r="236" spans="7:255" ht="14.25">
      <c r="G236" s="181"/>
      <c r="O236" s="181"/>
      <c r="W236" s="181"/>
      <c r="AE236" s="181"/>
      <c r="AM236" s="181"/>
      <c r="AU236" s="181"/>
      <c r="BC236" s="181"/>
      <c r="BK236" s="181"/>
      <c r="BS236" s="181"/>
      <c r="CA236" s="181"/>
      <c r="CI236" s="181"/>
      <c r="CQ236" s="181"/>
      <c r="CY236" s="181"/>
      <c r="DG236" s="181"/>
      <c r="DO236" s="181"/>
      <c r="DW236" s="181"/>
      <c r="EE236" s="181"/>
      <c r="EM236" s="181"/>
      <c r="EU236" s="181"/>
      <c r="FC236" s="181"/>
      <c r="FK236" s="181"/>
      <c r="FS236" s="181"/>
      <c r="GA236" s="181"/>
      <c r="GI236" s="181"/>
      <c r="GQ236" s="181"/>
      <c r="GY236" s="181"/>
      <c r="HG236" s="181"/>
      <c r="HO236" s="181"/>
      <c r="HW236" s="181"/>
      <c r="IE236" s="181"/>
      <c r="IM236" s="181"/>
      <c r="IU236" s="181"/>
    </row>
    <row r="237" spans="7:255" ht="14.25">
      <c r="G237" s="181"/>
      <c r="O237" s="181"/>
      <c r="W237" s="181"/>
      <c r="AE237" s="181"/>
      <c r="AM237" s="181"/>
      <c r="AU237" s="181"/>
      <c r="BC237" s="181"/>
      <c r="BK237" s="181"/>
      <c r="BS237" s="181"/>
      <c r="CA237" s="181"/>
      <c r="CI237" s="181"/>
      <c r="CQ237" s="181"/>
      <c r="CY237" s="181"/>
      <c r="DG237" s="181"/>
      <c r="DO237" s="181"/>
      <c r="DW237" s="181"/>
      <c r="EE237" s="181"/>
      <c r="EM237" s="181"/>
      <c r="EU237" s="181"/>
      <c r="FC237" s="181"/>
      <c r="FK237" s="181"/>
      <c r="FS237" s="181"/>
      <c r="GA237" s="181"/>
      <c r="GI237" s="181"/>
      <c r="GQ237" s="181"/>
      <c r="GY237" s="181"/>
      <c r="HG237" s="181"/>
      <c r="HO237" s="181"/>
      <c r="HW237" s="181"/>
      <c r="IE237" s="181"/>
      <c r="IM237" s="181"/>
      <c r="IU237" s="181"/>
    </row>
    <row r="238" spans="7:255" ht="14.25">
      <c r="G238" s="181"/>
      <c r="O238" s="181"/>
      <c r="W238" s="181"/>
      <c r="AE238" s="181"/>
      <c r="AM238" s="181"/>
      <c r="AU238" s="181"/>
      <c r="BC238" s="181"/>
      <c r="BK238" s="181"/>
      <c r="BS238" s="181"/>
      <c r="CA238" s="181"/>
      <c r="CI238" s="181"/>
      <c r="CQ238" s="181"/>
      <c r="CY238" s="181"/>
      <c r="DG238" s="181"/>
      <c r="DO238" s="181"/>
      <c r="DW238" s="181"/>
      <c r="EE238" s="181"/>
      <c r="EM238" s="181"/>
      <c r="EU238" s="181"/>
      <c r="FC238" s="181"/>
      <c r="FK238" s="181"/>
      <c r="FS238" s="181"/>
      <c r="GA238" s="181"/>
      <c r="GI238" s="181"/>
      <c r="GQ238" s="181"/>
      <c r="GY238" s="181"/>
      <c r="HG238" s="181"/>
      <c r="HO238" s="181"/>
      <c r="HW238" s="181"/>
      <c r="IE238" s="181"/>
      <c r="IM238" s="181"/>
      <c r="IU238" s="181"/>
    </row>
  </sheetData>
  <sheetProtection/>
  <mergeCells count="3"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&amp;C&amp;P 쪽</oddFooter>
  </headerFooter>
  <rowBreaks count="3" manualBreakCount="3">
    <brk id="19" max="4" man="1"/>
    <brk id="36" max="4" man="1"/>
    <brk id="55" max="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I135"/>
  <sheetViews>
    <sheetView showGridLines="0" view="pageBreakPreview" zoomScale="90" zoomScaleNormal="95" zoomScaleSheetLayoutView="90" zoomScalePageLayoutView="0" workbookViewId="0" topLeftCell="A64">
      <selection activeCell="G93" sqref="G93"/>
    </sheetView>
  </sheetViews>
  <sheetFormatPr defaultColWidth="9.00390625" defaultRowHeight="14.25"/>
  <cols>
    <col min="1" max="1" width="25.25390625" style="119" customWidth="1"/>
    <col min="2" max="2" width="25.625" style="119" customWidth="1"/>
    <col min="3" max="3" width="18.875" style="119" customWidth="1"/>
    <col min="4" max="4" width="18.125" style="119" customWidth="1"/>
    <col min="5" max="8" width="18.875" style="119" customWidth="1"/>
    <col min="9" max="9" width="17.00390625" style="119" bestFit="1" customWidth="1"/>
    <col min="10" max="16384" width="9.00390625" style="119" customWidth="1"/>
  </cols>
  <sheetData>
    <row r="1" ht="14.25"/>
    <row r="2" ht="14.25"/>
    <row r="3" spans="1:8" ht="14.25">
      <c r="A3" s="383" t="s">
        <v>634</v>
      </c>
      <c r="B3" s="383"/>
      <c r="C3" s="384"/>
      <c r="D3" s="384"/>
      <c r="E3" s="384"/>
      <c r="F3" s="384"/>
      <c r="G3" s="384"/>
      <c r="H3" s="384"/>
    </row>
    <row r="4" spans="1:8" ht="19.5" customHeight="1">
      <c r="A4" s="354" t="s">
        <v>508</v>
      </c>
      <c r="B4" s="355" t="s">
        <v>509</v>
      </c>
      <c r="C4" s="550" t="s">
        <v>635</v>
      </c>
      <c r="D4" s="551"/>
      <c r="E4" s="551"/>
      <c r="F4" s="552"/>
      <c r="G4" s="546" t="s">
        <v>406</v>
      </c>
      <c r="H4" s="548" t="s">
        <v>407</v>
      </c>
    </row>
    <row r="5" spans="1:8" ht="19.5" customHeight="1">
      <c r="A5" s="357" t="s">
        <v>274</v>
      </c>
      <c r="B5" s="358" t="s">
        <v>275</v>
      </c>
      <c r="C5" s="359" t="s">
        <v>408</v>
      </c>
      <c r="D5" s="359" t="s">
        <v>636</v>
      </c>
      <c r="E5" s="359" t="s">
        <v>637</v>
      </c>
      <c r="F5" s="359" t="s">
        <v>638</v>
      </c>
      <c r="G5" s="547"/>
      <c r="H5" s="549"/>
    </row>
    <row r="6" spans="1:8" ht="19.5" customHeight="1">
      <c r="A6" s="405" t="s">
        <v>409</v>
      </c>
      <c r="B6" s="406"/>
      <c r="C6" s="407">
        <f>SUM(C7+C18)</f>
        <v>71271000000</v>
      </c>
      <c r="D6" s="407">
        <f>SUM(D7+D18)</f>
        <v>0</v>
      </c>
      <c r="E6" s="407">
        <f>SUM(E7+E18)</f>
        <v>0</v>
      </c>
      <c r="F6" s="407">
        <f>SUM(F7+F18)</f>
        <v>71271000000</v>
      </c>
      <c r="G6" s="407">
        <f>SUM(G7+G18)</f>
        <v>68984275125</v>
      </c>
      <c r="H6" s="408">
        <f>F6-G6</f>
        <v>2286724875</v>
      </c>
    </row>
    <row r="7" spans="1:8" ht="19.5" customHeight="1">
      <c r="A7" s="360" t="s">
        <v>410</v>
      </c>
      <c r="B7" s="133"/>
      <c r="C7" s="67">
        <f>SUM(C8:C17)</f>
        <v>7800000000</v>
      </c>
      <c r="D7" s="67">
        <f>SUM(D8:D17)</f>
        <v>0</v>
      </c>
      <c r="E7" s="67">
        <f>SUM(E8:E17)</f>
        <v>0</v>
      </c>
      <c r="F7" s="67">
        <f>SUM(F8:F17)</f>
        <v>7800000000</v>
      </c>
      <c r="G7" s="67">
        <f>SUM(G8:G17)</f>
        <v>7074018035</v>
      </c>
      <c r="H7" s="134">
        <f aca="true" t="shared" si="0" ref="H7:H70">F7-G7</f>
        <v>725981965</v>
      </c>
    </row>
    <row r="8" spans="1:8" ht="19.5" customHeight="1">
      <c r="A8" s="361"/>
      <c r="B8" s="133" t="s">
        <v>411</v>
      </c>
      <c r="C8" s="67">
        <v>0</v>
      </c>
      <c r="D8" s="67">
        <v>0</v>
      </c>
      <c r="E8" s="67">
        <v>0</v>
      </c>
      <c r="F8" s="67">
        <f>C8+D8+E8</f>
        <v>0</v>
      </c>
      <c r="G8" s="67">
        <v>0</v>
      </c>
      <c r="H8" s="134">
        <f t="shared" si="0"/>
        <v>0</v>
      </c>
    </row>
    <row r="9" spans="1:8" ht="19.5" customHeight="1">
      <c r="A9" s="128"/>
      <c r="B9" s="133" t="s">
        <v>412</v>
      </c>
      <c r="C9" s="67">
        <v>0</v>
      </c>
      <c r="D9" s="67">
        <v>0</v>
      </c>
      <c r="E9" s="67">
        <v>0</v>
      </c>
      <c r="F9" s="67">
        <f aca="true" t="shared" si="1" ref="F9:F24">C9+D9+E9</f>
        <v>0</v>
      </c>
      <c r="G9" s="67">
        <v>0</v>
      </c>
      <c r="H9" s="134">
        <f t="shared" si="0"/>
        <v>0</v>
      </c>
    </row>
    <row r="10" spans="1:9" ht="19.5" customHeight="1">
      <c r="A10" s="128"/>
      <c r="B10" s="133" t="s">
        <v>413</v>
      </c>
      <c r="C10" s="385">
        <v>7800000000</v>
      </c>
      <c r="D10" s="67">
        <v>0</v>
      </c>
      <c r="E10" s="67">
        <v>0</v>
      </c>
      <c r="F10" s="67">
        <f>C10+D10+E10</f>
        <v>7800000000</v>
      </c>
      <c r="G10" s="67">
        <f>539072105+567684110+638879450+558617450+614293580+581531950+598378810+560932770+614107770+602921180+659579180+538019680</f>
        <v>7074018035</v>
      </c>
      <c r="H10" s="134">
        <f t="shared" si="0"/>
        <v>725981965</v>
      </c>
      <c r="I10" s="181">
        <f>4099651600+58554986425</f>
        <v>62654638025</v>
      </c>
    </row>
    <row r="11" spans="1:9" ht="19.5" customHeight="1">
      <c r="A11" s="128"/>
      <c r="B11" s="133" t="s">
        <v>414</v>
      </c>
      <c r="C11" s="67">
        <v>0</v>
      </c>
      <c r="D11" s="67">
        <v>0</v>
      </c>
      <c r="E11" s="67">
        <v>0</v>
      </c>
      <c r="F11" s="67">
        <f t="shared" si="1"/>
        <v>0</v>
      </c>
      <c r="G11" s="67">
        <v>0</v>
      </c>
      <c r="H11" s="134">
        <f t="shared" si="0"/>
        <v>0</v>
      </c>
      <c r="I11" s="181">
        <f>+G10+G19+G20+G21</f>
        <v>62654638025</v>
      </c>
    </row>
    <row r="12" spans="1:9" ht="19.5" customHeight="1">
      <c r="A12" s="128"/>
      <c r="B12" s="133" t="s">
        <v>415</v>
      </c>
      <c r="C12" s="67">
        <v>0</v>
      </c>
      <c r="D12" s="67">
        <v>0</v>
      </c>
      <c r="E12" s="67">
        <v>0</v>
      </c>
      <c r="F12" s="67">
        <f t="shared" si="1"/>
        <v>0</v>
      </c>
      <c r="G12" s="67">
        <v>0</v>
      </c>
      <c r="H12" s="134">
        <f t="shared" si="0"/>
        <v>0</v>
      </c>
      <c r="I12" s="181">
        <f>+I10-I11</f>
        <v>0</v>
      </c>
    </row>
    <row r="13" spans="1:9" ht="19.5" customHeight="1">
      <c r="A13" s="128"/>
      <c r="B13" s="133" t="s">
        <v>416</v>
      </c>
      <c r="C13" s="67">
        <v>0</v>
      </c>
      <c r="D13" s="67">
        <v>0</v>
      </c>
      <c r="E13" s="67">
        <v>0</v>
      </c>
      <c r="F13" s="67">
        <f t="shared" si="1"/>
        <v>0</v>
      </c>
      <c r="G13" s="67">
        <v>0</v>
      </c>
      <c r="H13" s="134">
        <f t="shared" si="0"/>
        <v>0</v>
      </c>
      <c r="I13" s="181"/>
    </row>
    <row r="14" spans="1:8" ht="19.5" customHeight="1">
      <c r="A14" s="128"/>
      <c r="B14" s="133" t="s">
        <v>417</v>
      </c>
      <c r="C14" s="67">
        <v>0</v>
      </c>
      <c r="D14" s="67">
        <v>0</v>
      </c>
      <c r="E14" s="67">
        <v>0</v>
      </c>
      <c r="F14" s="67">
        <f t="shared" si="1"/>
        <v>0</v>
      </c>
      <c r="G14" s="67">
        <v>0</v>
      </c>
      <c r="H14" s="134">
        <f t="shared" si="0"/>
        <v>0</v>
      </c>
    </row>
    <row r="15" spans="1:8" ht="19.5" customHeight="1">
      <c r="A15" s="128"/>
      <c r="B15" s="133" t="s">
        <v>418</v>
      </c>
      <c r="C15" s="67">
        <v>0</v>
      </c>
      <c r="D15" s="67">
        <v>0</v>
      </c>
      <c r="E15" s="67">
        <v>0</v>
      </c>
      <c r="F15" s="67">
        <f t="shared" si="1"/>
        <v>0</v>
      </c>
      <c r="G15" s="67">
        <v>0</v>
      </c>
      <c r="H15" s="134">
        <f t="shared" si="0"/>
        <v>0</v>
      </c>
    </row>
    <row r="16" spans="1:8" ht="19.5" customHeight="1">
      <c r="A16" s="128"/>
      <c r="B16" s="133" t="s">
        <v>419</v>
      </c>
      <c r="C16" s="67">
        <v>0</v>
      </c>
      <c r="D16" s="67">
        <v>0</v>
      </c>
      <c r="E16" s="67">
        <v>0</v>
      </c>
      <c r="F16" s="67">
        <f t="shared" si="1"/>
        <v>0</v>
      </c>
      <c r="G16" s="67">
        <v>0</v>
      </c>
      <c r="H16" s="134">
        <f t="shared" si="0"/>
        <v>0</v>
      </c>
    </row>
    <row r="17" spans="1:8" ht="19.5" customHeight="1">
      <c r="A17" s="135"/>
      <c r="B17" s="133" t="s">
        <v>420</v>
      </c>
      <c r="C17" s="67">
        <v>0</v>
      </c>
      <c r="D17" s="67">
        <v>0</v>
      </c>
      <c r="E17" s="67">
        <v>0</v>
      </c>
      <c r="F17" s="67">
        <f t="shared" si="1"/>
        <v>0</v>
      </c>
      <c r="G17" s="67">
        <v>0</v>
      </c>
      <c r="H17" s="134">
        <f t="shared" si="0"/>
        <v>0</v>
      </c>
    </row>
    <row r="18" spans="1:8" ht="19.5" customHeight="1">
      <c r="A18" s="360" t="s">
        <v>421</v>
      </c>
      <c r="B18" s="133"/>
      <c r="C18" s="67">
        <f>SUM(C19:C24)</f>
        <v>63471000000</v>
      </c>
      <c r="D18" s="67">
        <f>SUM(D19:D24)</f>
        <v>0</v>
      </c>
      <c r="E18" s="67">
        <f>SUM(E19:E24)</f>
        <v>0</v>
      </c>
      <c r="F18" s="67">
        <f>SUM(F19:F24)</f>
        <v>63471000000</v>
      </c>
      <c r="G18" s="67">
        <f>SUM(G19:G24)</f>
        <v>61910257090</v>
      </c>
      <c r="H18" s="134">
        <f t="shared" si="0"/>
        <v>1560742910</v>
      </c>
    </row>
    <row r="19" spans="1:8" ht="19.5" customHeight="1">
      <c r="A19" s="361"/>
      <c r="B19" s="133" t="s">
        <v>422</v>
      </c>
      <c r="C19" s="385">
        <v>29640000000</v>
      </c>
      <c r="D19" s="67"/>
      <c r="E19" s="67">
        <v>-1898930630</v>
      </c>
      <c r="F19" s="67">
        <f t="shared" si="1"/>
        <v>27741069370</v>
      </c>
      <c r="G19" s="67">
        <f>2312654102+2304457292+2283976482+2271093462+2245046022+2216011372+2157738162+2139769600+1566295432+1783151532+1074795070+1753737732+1741242437+147756610-1500000+149256610-1500000+158674760-1500000+161674760-1500000+160436270-1500000+159313120-1500000+155428000-1500000+155428000-1500000+152946130-1500000+150792170-1500000+150066360-1500000+148566360-1500000</f>
        <v>27682307847</v>
      </c>
      <c r="H19" s="134">
        <f t="shared" si="0"/>
        <v>58761523</v>
      </c>
    </row>
    <row r="20" spans="1:8" ht="19.5" customHeight="1">
      <c r="A20" s="128"/>
      <c r="B20" s="133" t="s">
        <v>423</v>
      </c>
      <c r="C20" s="385">
        <v>3300000000</v>
      </c>
      <c r="D20" s="67">
        <v>0</v>
      </c>
      <c r="E20" s="67">
        <v>0</v>
      </c>
      <c r="F20" s="67">
        <f t="shared" si="1"/>
        <v>3300000000</v>
      </c>
      <c r="G20" s="67">
        <f>69383200+69383200+71953680+71953680+71786900+71307410+70652330+70652330+70178400+70006060+70006060+70006060+561646418+557411198+549286478+539938018</f>
        <v>3055551422</v>
      </c>
      <c r="H20" s="134">
        <f t="shared" si="0"/>
        <v>244448578</v>
      </c>
    </row>
    <row r="21" spans="1:9" ht="19.5" customHeight="1">
      <c r="A21" s="128"/>
      <c r="B21" s="133" t="s">
        <v>424</v>
      </c>
      <c r="C21" s="385">
        <v>25500000000</v>
      </c>
      <c r="D21" s="67">
        <v>0</v>
      </c>
      <c r="E21" s="67"/>
      <c r="F21" s="67">
        <f t="shared" si="1"/>
        <v>25500000000</v>
      </c>
      <c r="G21" s="67">
        <f>+I10-G10-G19-G20</f>
        <v>24842760721</v>
      </c>
      <c r="H21" s="134">
        <f t="shared" si="0"/>
        <v>657239279</v>
      </c>
      <c r="I21" s="181">
        <f>+G21+G10</f>
        <v>31916778756</v>
      </c>
    </row>
    <row r="22" spans="1:8" ht="19.5" customHeight="1">
      <c r="A22" s="128"/>
      <c r="B22" s="133" t="s">
        <v>731</v>
      </c>
      <c r="C22" s="385">
        <v>4353000000</v>
      </c>
      <c r="D22" s="67">
        <v>0</v>
      </c>
      <c r="E22" s="67">
        <v>1898930630</v>
      </c>
      <c r="F22" s="67">
        <f t="shared" si="1"/>
        <v>6251930630</v>
      </c>
      <c r="G22" s="67">
        <f>+'시산표(현금유출입)'!D104+'시산표(현금유출입)'!D125</f>
        <v>6251930630</v>
      </c>
      <c r="H22" s="134">
        <f t="shared" si="0"/>
        <v>0</v>
      </c>
    </row>
    <row r="23" spans="1:8" ht="19.5" customHeight="1">
      <c r="A23" s="128"/>
      <c r="B23" s="133" t="s">
        <v>425</v>
      </c>
      <c r="C23" s="385">
        <v>30000000</v>
      </c>
      <c r="D23" s="67">
        <v>0</v>
      </c>
      <c r="E23" s="67">
        <v>0</v>
      </c>
      <c r="F23" s="67">
        <f t="shared" si="1"/>
        <v>30000000</v>
      </c>
      <c r="G23" s="67">
        <f>+'시산표(현금유출입)'!C121</f>
        <v>132150</v>
      </c>
      <c r="H23" s="134">
        <f t="shared" si="0"/>
        <v>29867850</v>
      </c>
    </row>
    <row r="24" spans="1:8" ht="19.5" customHeight="1">
      <c r="A24" s="135"/>
      <c r="B24" s="133" t="s">
        <v>639</v>
      </c>
      <c r="C24" s="385">
        <v>648000000</v>
      </c>
      <c r="D24" s="67">
        <v>0</v>
      </c>
      <c r="E24" s="67">
        <v>0</v>
      </c>
      <c r="F24" s="67">
        <f t="shared" si="1"/>
        <v>648000000</v>
      </c>
      <c r="G24" s="67">
        <f>+부속tb!B75-부속tb!D26</f>
        <v>77574320</v>
      </c>
      <c r="H24" s="134">
        <f t="shared" si="0"/>
        <v>570425680</v>
      </c>
    </row>
    <row r="25" spans="1:8" ht="19.5" customHeight="1">
      <c r="A25" s="409" t="s">
        <v>426</v>
      </c>
      <c r="B25" s="410"/>
      <c r="C25" s="411">
        <f>SUM(C26+C35+C45+C54)</f>
        <v>93136400000</v>
      </c>
      <c r="D25" s="411">
        <f>SUM(D26+D35+D45+D54)</f>
        <v>0</v>
      </c>
      <c r="E25" s="411">
        <f>SUM(E26+E35+E45+E54)</f>
        <v>0</v>
      </c>
      <c r="F25" s="411">
        <f>SUM(F26+F35+F45+F54)</f>
        <v>93136400000</v>
      </c>
      <c r="G25" s="411">
        <f>SUM(G26+G35+G45+G54)</f>
        <v>80297017720</v>
      </c>
      <c r="H25" s="416">
        <f t="shared" si="0"/>
        <v>12839382280</v>
      </c>
    </row>
    <row r="26" spans="1:8" ht="19.5" customHeight="1">
      <c r="A26" s="360" t="s">
        <v>427</v>
      </c>
      <c r="B26" s="133"/>
      <c r="C26" s="67">
        <f>SUM(C27:C34)</f>
        <v>13373000000</v>
      </c>
      <c r="D26" s="67">
        <f>SUM(D27:D34)</f>
        <v>0</v>
      </c>
      <c r="E26" s="67">
        <f>SUM(E27:E34)</f>
        <v>0</v>
      </c>
      <c r="F26" s="67">
        <f>SUM(F27:F34)</f>
        <v>13373000000</v>
      </c>
      <c r="G26" s="67">
        <f>SUM(G27:G34)</f>
        <v>11815454235</v>
      </c>
      <c r="H26" s="134">
        <f t="shared" si="0"/>
        <v>1557545765</v>
      </c>
    </row>
    <row r="27" spans="1:8" ht="19.5" customHeight="1">
      <c r="A27" s="361"/>
      <c r="B27" s="133" t="s">
        <v>428</v>
      </c>
      <c r="C27" s="385">
        <v>500000000</v>
      </c>
      <c r="D27" s="67">
        <v>0</v>
      </c>
      <c r="E27" s="67"/>
      <c r="F27" s="67">
        <f aca="true" t="shared" si="2" ref="F27:F60">C27+D27+E27</f>
        <v>500000000</v>
      </c>
      <c r="G27" s="67">
        <f>73451000+245600800</f>
        <v>319051800</v>
      </c>
      <c r="H27" s="134">
        <f t="shared" si="0"/>
        <v>180948200</v>
      </c>
    </row>
    <row r="28" spans="1:8" ht="19.5" customHeight="1">
      <c r="A28" s="128"/>
      <c r="B28" s="133" t="s">
        <v>429</v>
      </c>
      <c r="C28" s="385">
        <v>3328000000</v>
      </c>
      <c r="D28" s="67">
        <v>0</v>
      </c>
      <c r="E28" s="67">
        <v>0</v>
      </c>
      <c r="F28" s="67">
        <f t="shared" si="2"/>
        <v>3328000000</v>
      </c>
      <c r="G28" s="67">
        <f>2488954070+294406050</f>
        <v>2783360120</v>
      </c>
      <c r="H28" s="134">
        <f t="shared" si="0"/>
        <v>544639880</v>
      </c>
    </row>
    <row r="29" spans="1:8" ht="19.5" customHeight="1">
      <c r="A29" s="376"/>
      <c r="B29" s="372" t="s">
        <v>430</v>
      </c>
      <c r="C29" s="69">
        <v>0</v>
      </c>
      <c r="D29" s="106">
        <v>0</v>
      </c>
      <c r="E29" s="106">
        <v>0</v>
      </c>
      <c r="F29" s="106">
        <f t="shared" si="2"/>
        <v>0</v>
      </c>
      <c r="G29" s="106">
        <v>0</v>
      </c>
      <c r="H29" s="373">
        <f t="shared" si="0"/>
        <v>0</v>
      </c>
    </row>
    <row r="30" spans="1:8" ht="19.5" customHeight="1">
      <c r="A30" s="135" t="s">
        <v>640</v>
      </c>
      <c r="B30" s="129" t="s">
        <v>431</v>
      </c>
      <c r="C30" s="390">
        <v>0</v>
      </c>
      <c r="D30" s="130">
        <v>0</v>
      </c>
      <c r="E30" s="130">
        <v>0</v>
      </c>
      <c r="F30" s="130">
        <f t="shared" si="2"/>
        <v>0</v>
      </c>
      <c r="G30" s="130">
        <v>0</v>
      </c>
      <c r="H30" s="131">
        <f t="shared" si="0"/>
        <v>0</v>
      </c>
    </row>
    <row r="31" spans="1:8" ht="19.5" customHeight="1">
      <c r="A31" s="128"/>
      <c r="B31" s="133" t="s">
        <v>432</v>
      </c>
      <c r="C31" s="385">
        <v>9436000000</v>
      </c>
      <c r="D31" s="67">
        <v>0</v>
      </c>
      <c r="E31" s="67">
        <v>0</v>
      </c>
      <c r="F31" s="67">
        <f t="shared" si="2"/>
        <v>9436000000</v>
      </c>
      <c r="G31" s="67">
        <f>+'시산표(현금유출입)'!C115</f>
        <v>8656295315</v>
      </c>
      <c r="H31" s="134">
        <f t="shared" si="0"/>
        <v>779704685</v>
      </c>
    </row>
    <row r="32" spans="1:8" ht="19.5" customHeight="1">
      <c r="A32" s="128"/>
      <c r="B32" s="133" t="s">
        <v>433</v>
      </c>
      <c r="C32" s="385">
        <v>47000000</v>
      </c>
      <c r="D32" s="67">
        <v>0</v>
      </c>
      <c r="E32" s="67"/>
      <c r="F32" s="67">
        <f t="shared" si="2"/>
        <v>47000000</v>
      </c>
      <c r="G32" s="67">
        <f>+'시산표(현금유출입)'!C140</f>
        <v>15023400</v>
      </c>
      <c r="H32" s="134">
        <f t="shared" si="0"/>
        <v>31976600</v>
      </c>
    </row>
    <row r="33" spans="1:8" ht="19.5" customHeight="1">
      <c r="A33" s="128"/>
      <c r="B33" s="133" t="s">
        <v>641</v>
      </c>
      <c r="C33" s="385">
        <v>62000000</v>
      </c>
      <c r="D33" s="67">
        <v>0</v>
      </c>
      <c r="E33" s="67">
        <v>0</v>
      </c>
      <c r="F33" s="67">
        <f t="shared" si="2"/>
        <v>62000000</v>
      </c>
      <c r="G33" s="67">
        <f>+'시산표(현금유출입)'!C135</f>
        <v>41723600</v>
      </c>
      <c r="H33" s="134">
        <f t="shared" si="0"/>
        <v>20276400</v>
      </c>
    </row>
    <row r="34" spans="1:8" ht="19.5" customHeight="1">
      <c r="A34" s="135"/>
      <c r="B34" s="133" t="s">
        <v>434</v>
      </c>
      <c r="C34" s="385">
        <v>0</v>
      </c>
      <c r="D34" s="67"/>
      <c r="E34" s="67"/>
      <c r="F34" s="67">
        <f t="shared" si="2"/>
        <v>0</v>
      </c>
      <c r="G34" s="67">
        <v>0</v>
      </c>
      <c r="H34" s="134">
        <f t="shared" si="0"/>
        <v>0</v>
      </c>
    </row>
    <row r="35" spans="1:8" ht="19.5" customHeight="1">
      <c r="A35" s="360" t="s">
        <v>435</v>
      </c>
      <c r="B35" s="133"/>
      <c r="C35" s="67">
        <f>SUM(C36:C44)</f>
        <v>9106400000</v>
      </c>
      <c r="D35" s="67">
        <f>SUM(D36:D44)</f>
        <v>0</v>
      </c>
      <c r="E35" s="67">
        <f>SUM(E36:E44)</f>
        <v>0</v>
      </c>
      <c r="F35" s="67">
        <f>SUM(F36:F44)</f>
        <v>9106400000</v>
      </c>
      <c r="G35" s="67">
        <f>SUM(G36:G44)</f>
        <v>6850131195</v>
      </c>
      <c r="H35" s="134">
        <f t="shared" si="0"/>
        <v>2256268805</v>
      </c>
    </row>
    <row r="36" spans="1:8" ht="19.5" customHeight="1">
      <c r="A36" s="361"/>
      <c r="B36" s="133" t="s">
        <v>436</v>
      </c>
      <c r="C36" s="386">
        <v>170000000</v>
      </c>
      <c r="D36" s="67">
        <v>0</v>
      </c>
      <c r="E36" s="67">
        <v>0</v>
      </c>
      <c r="F36" s="67">
        <f t="shared" si="2"/>
        <v>170000000</v>
      </c>
      <c r="G36" s="67">
        <f>+'시산표(현금유출입)'!C127+'시산표(현금유출입)'!C106</f>
        <v>58068954</v>
      </c>
      <c r="H36" s="134">
        <f t="shared" si="0"/>
        <v>111931046</v>
      </c>
    </row>
    <row r="37" spans="1:8" ht="19.5" customHeight="1">
      <c r="A37" s="128"/>
      <c r="B37" s="133" t="s">
        <v>437</v>
      </c>
      <c r="C37" s="386">
        <v>171000000</v>
      </c>
      <c r="D37" s="67">
        <v>0</v>
      </c>
      <c r="E37" s="67"/>
      <c r="F37" s="67">
        <f t="shared" si="2"/>
        <v>171000000</v>
      </c>
      <c r="G37" s="67">
        <f>+'시산표(현금유출입)'!C139</f>
        <v>54728194</v>
      </c>
      <c r="H37" s="134">
        <f t="shared" si="0"/>
        <v>116271806</v>
      </c>
    </row>
    <row r="38" spans="1:8" ht="19.5" customHeight="1">
      <c r="A38" s="128"/>
      <c r="B38" s="362" t="s">
        <v>438</v>
      </c>
      <c r="C38" s="386">
        <v>840000000</v>
      </c>
      <c r="D38" s="67">
        <v>0</v>
      </c>
      <c r="E38" s="67"/>
      <c r="F38" s="67">
        <f t="shared" si="2"/>
        <v>840000000</v>
      </c>
      <c r="G38" s="68">
        <f>+'시산표(현금유출입)'!C109+'시산표(현금유출입)'!C131</f>
        <v>417727471</v>
      </c>
      <c r="H38" s="134">
        <f t="shared" si="0"/>
        <v>422272529</v>
      </c>
    </row>
    <row r="39" spans="1:8" ht="19.5" customHeight="1">
      <c r="A39" s="128"/>
      <c r="B39" s="133" t="s">
        <v>439</v>
      </c>
      <c r="C39" s="386">
        <v>428400000</v>
      </c>
      <c r="D39" s="67">
        <v>0</v>
      </c>
      <c r="E39" s="67"/>
      <c r="F39" s="67">
        <f t="shared" si="2"/>
        <v>428400000</v>
      </c>
      <c r="G39" s="67">
        <f>+'시산표(현금유출입)'!C111+'시산표(현금유출입)'!C133</f>
        <v>250131269</v>
      </c>
      <c r="H39" s="134">
        <f t="shared" si="0"/>
        <v>178268731</v>
      </c>
    </row>
    <row r="40" spans="1:8" ht="19.5" customHeight="1">
      <c r="A40" s="128"/>
      <c r="B40" s="133" t="s">
        <v>440</v>
      </c>
      <c r="C40" s="386">
        <v>1040000000</v>
      </c>
      <c r="D40" s="67">
        <v>0</v>
      </c>
      <c r="E40" s="67"/>
      <c r="F40" s="67">
        <f t="shared" si="2"/>
        <v>1040000000</v>
      </c>
      <c r="G40" s="67">
        <v>789430089</v>
      </c>
      <c r="H40" s="134">
        <f t="shared" si="0"/>
        <v>250569911</v>
      </c>
    </row>
    <row r="41" spans="1:8" ht="19.5" customHeight="1">
      <c r="A41" s="128"/>
      <c r="B41" s="133" t="s">
        <v>441</v>
      </c>
      <c r="C41" s="386">
        <v>2587000000</v>
      </c>
      <c r="D41" s="67">
        <v>0</v>
      </c>
      <c r="E41" s="67">
        <v>0</v>
      </c>
      <c r="F41" s="67">
        <f t="shared" si="2"/>
        <v>2587000000</v>
      </c>
      <c r="G41" s="67">
        <f>1972902980+379486070</f>
        <v>2352389050</v>
      </c>
      <c r="H41" s="134">
        <f t="shared" si="0"/>
        <v>234610950</v>
      </c>
    </row>
    <row r="42" spans="1:8" ht="19.5" customHeight="1">
      <c r="A42" s="128"/>
      <c r="B42" s="133" t="s">
        <v>442</v>
      </c>
      <c r="C42" s="386">
        <v>215000000</v>
      </c>
      <c r="D42" s="67">
        <v>0</v>
      </c>
      <c r="E42" s="67">
        <v>0</v>
      </c>
      <c r="F42" s="67">
        <f t="shared" si="2"/>
        <v>215000000</v>
      </c>
      <c r="G42" s="67">
        <f>+'시산표(현금유출입)'!C128</f>
        <v>183485010</v>
      </c>
      <c r="H42" s="134">
        <f t="shared" si="0"/>
        <v>31514990</v>
      </c>
    </row>
    <row r="43" spans="1:8" ht="19.5" customHeight="1">
      <c r="A43" s="128"/>
      <c r="B43" s="133" t="s">
        <v>443</v>
      </c>
      <c r="C43" s="386">
        <v>1910000000</v>
      </c>
      <c r="D43" s="67">
        <v>0</v>
      </c>
      <c r="E43" s="67"/>
      <c r="F43" s="67">
        <f t="shared" si="2"/>
        <v>1910000000</v>
      </c>
      <c r="G43" s="67">
        <f>+'시산표(현금유출입)'!C130+'시산표(현금유출입)'!C108</f>
        <v>1388886076</v>
      </c>
      <c r="H43" s="134">
        <f t="shared" si="0"/>
        <v>521113924</v>
      </c>
    </row>
    <row r="44" spans="1:8" ht="19.5" customHeight="1">
      <c r="A44" s="128"/>
      <c r="B44" s="133" t="s">
        <v>444</v>
      </c>
      <c r="C44" s="386">
        <v>1745000000</v>
      </c>
      <c r="D44" s="67">
        <v>0</v>
      </c>
      <c r="E44" s="67"/>
      <c r="F44" s="67">
        <f t="shared" si="2"/>
        <v>1745000000</v>
      </c>
      <c r="G44" s="67">
        <f>+'시산표(현금유출입)'!C136</f>
        <v>1355285082</v>
      </c>
      <c r="H44" s="134">
        <f t="shared" si="0"/>
        <v>389714918</v>
      </c>
    </row>
    <row r="45" spans="1:8" ht="19.5" customHeight="1">
      <c r="A45" s="360" t="s">
        <v>445</v>
      </c>
      <c r="B45" s="133"/>
      <c r="C45" s="67">
        <f>SUM(C46:C53)</f>
        <v>4009000000</v>
      </c>
      <c r="D45" s="67">
        <f>SUM(D46:D53)</f>
        <v>0</v>
      </c>
      <c r="E45" s="67">
        <f>SUM(E46:E53)</f>
        <v>0</v>
      </c>
      <c r="F45" s="67">
        <f>SUM(F46:F53)</f>
        <v>4009000000</v>
      </c>
      <c r="G45" s="67">
        <f>SUM(G46:G53)</f>
        <v>1219223945</v>
      </c>
      <c r="H45" s="134">
        <f t="shared" si="0"/>
        <v>2789776055</v>
      </c>
    </row>
    <row r="46" spans="1:8" ht="19.5" customHeight="1">
      <c r="A46" s="361"/>
      <c r="B46" s="133" t="s">
        <v>446</v>
      </c>
      <c r="C46" s="385">
        <v>2815000000</v>
      </c>
      <c r="D46" s="67">
        <v>0</v>
      </c>
      <c r="E46" s="67">
        <v>-253730018</v>
      </c>
      <c r="F46" s="67">
        <f t="shared" si="2"/>
        <v>2561269982</v>
      </c>
      <c r="G46" s="67">
        <f>+'시산표(현금유출입)'!C126+'시산표(현금유출입)'!C105</f>
        <v>617561821</v>
      </c>
      <c r="H46" s="134">
        <f t="shared" si="0"/>
        <v>1943708161</v>
      </c>
    </row>
    <row r="47" spans="1:8" ht="19.5" customHeight="1">
      <c r="A47" s="128"/>
      <c r="B47" s="133" t="s">
        <v>722</v>
      </c>
      <c r="C47" s="385">
        <v>560000000</v>
      </c>
      <c r="D47" s="67">
        <v>0</v>
      </c>
      <c r="E47" s="67"/>
      <c r="F47" s="67">
        <f t="shared" si="2"/>
        <v>560000000</v>
      </c>
      <c r="G47" s="67">
        <f>+'시산표(현금유출입)'!C118+'시산표(현금유출입)'!C145</f>
        <v>130462705</v>
      </c>
      <c r="H47" s="134">
        <f t="shared" si="0"/>
        <v>429537295</v>
      </c>
    </row>
    <row r="48" spans="1:8" ht="19.5" customHeight="1">
      <c r="A48" s="128"/>
      <c r="B48" s="362" t="s">
        <v>723</v>
      </c>
      <c r="C48" s="385">
        <v>0</v>
      </c>
      <c r="D48" s="67">
        <v>0</v>
      </c>
      <c r="E48" s="67">
        <v>0</v>
      </c>
      <c r="F48" s="67">
        <f t="shared" si="2"/>
        <v>0</v>
      </c>
      <c r="G48" s="68">
        <v>0</v>
      </c>
      <c r="H48" s="134">
        <f t="shared" si="0"/>
        <v>0</v>
      </c>
    </row>
    <row r="49" spans="1:8" ht="19.5" customHeight="1">
      <c r="A49" s="128"/>
      <c r="B49" s="362" t="s">
        <v>724</v>
      </c>
      <c r="C49" s="385">
        <v>120000000</v>
      </c>
      <c r="D49" s="67">
        <v>0</v>
      </c>
      <c r="E49" s="67"/>
      <c r="F49" s="67">
        <f t="shared" si="2"/>
        <v>120000000</v>
      </c>
      <c r="G49" s="68">
        <f>+'시산표(현금유출입)'!C143</f>
        <v>61491526</v>
      </c>
      <c r="H49" s="134">
        <f t="shared" si="0"/>
        <v>58508474</v>
      </c>
    </row>
    <row r="50" spans="1:8" ht="19.5" customHeight="1">
      <c r="A50" s="128"/>
      <c r="B50" s="133" t="s">
        <v>725</v>
      </c>
      <c r="C50" s="385">
        <v>472000000</v>
      </c>
      <c r="D50" s="67">
        <v>0</v>
      </c>
      <c r="E50" s="67"/>
      <c r="F50" s="67">
        <f t="shared" si="2"/>
        <v>472000000</v>
      </c>
      <c r="G50" s="67">
        <f>+'시산표(현금유출입)'!C144</f>
        <v>371908763</v>
      </c>
      <c r="H50" s="134">
        <f t="shared" si="0"/>
        <v>100091237</v>
      </c>
    </row>
    <row r="51" spans="1:8" ht="19.5" customHeight="1">
      <c r="A51" s="128"/>
      <c r="B51" s="133" t="s">
        <v>726</v>
      </c>
      <c r="C51" s="385">
        <v>0</v>
      </c>
      <c r="D51" s="67">
        <v>0</v>
      </c>
      <c r="E51" s="67">
        <v>0</v>
      </c>
      <c r="F51" s="67">
        <f t="shared" si="2"/>
        <v>0</v>
      </c>
      <c r="G51" s="67">
        <v>0</v>
      </c>
      <c r="H51" s="134">
        <f t="shared" si="0"/>
        <v>0</v>
      </c>
    </row>
    <row r="52" spans="1:8" ht="19.5" customHeight="1">
      <c r="A52" s="128"/>
      <c r="B52" s="133" t="s">
        <v>727</v>
      </c>
      <c r="C52" s="385">
        <v>0</v>
      </c>
      <c r="D52" s="67">
        <v>0</v>
      </c>
      <c r="E52" s="67">
        <v>0</v>
      </c>
      <c r="F52" s="67">
        <f t="shared" si="2"/>
        <v>0</v>
      </c>
      <c r="G52" s="67">
        <v>0</v>
      </c>
      <c r="H52" s="134">
        <f t="shared" si="0"/>
        <v>0</v>
      </c>
    </row>
    <row r="53" spans="1:8" ht="19.5" customHeight="1">
      <c r="A53" s="376"/>
      <c r="B53" s="372" t="s">
        <v>447</v>
      </c>
      <c r="C53" s="69">
        <v>42000000</v>
      </c>
      <c r="D53" s="106">
        <v>0</v>
      </c>
      <c r="E53" s="106">
        <v>253730018</v>
      </c>
      <c r="F53" s="106">
        <f t="shared" si="2"/>
        <v>295730018</v>
      </c>
      <c r="G53" s="106">
        <f>+부속tb!B147+부속tb!B146</f>
        <v>37799130</v>
      </c>
      <c r="H53" s="373">
        <f t="shared" si="0"/>
        <v>257930888</v>
      </c>
    </row>
    <row r="54" spans="1:8" ht="19.5" customHeight="1">
      <c r="A54" s="135" t="s">
        <v>448</v>
      </c>
      <c r="B54" s="129"/>
      <c r="C54" s="130">
        <f>SUM(C55:C60)</f>
        <v>66648000000</v>
      </c>
      <c r="D54" s="130">
        <f>SUM(D55:D60)</f>
        <v>0</v>
      </c>
      <c r="E54" s="130">
        <f>SUM(E55:E60)</f>
        <v>0</v>
      </c>
      <c r="F54" s="130">
        <f>SUM(F55:F60)</f>
        <v>66648000000</v>
      </c>
      <c r="G54" s="130">
        <f>SUM(G55:G60)</f>
        <v>60412208345</v>
      </c>
      <c r="H54" s="131">
        <f t="shared" si="0"/>
        <v>6235791655</v>
      </c>
    </row>
    <row r="55" spans="1:8" ht="19.5" customHeight="1">
      <c r="A55" s="361"/>
      <c r="B55" s="418" t="s">
        <v>449</v>
      </c>
      <c r="C55" s="419">
        <v>31560000000</v>
      </c>
      <c r="D55" s="130">
        <v>0</v>
      </c>
      <c r="E55" s="130">
        <v>0</v>
      </c>
      <c r="F55" s="130">
        <f t="shared" si="2"/>
        <v>31560000000</v>
      </c>
      <c r="G55" s="419">
        <f>+'시산표(현금유출입)'!C93</f>
        <v>29350591329</v>
      </c>
      <c r="H55" s="131">
        <f t="shared" si="0"/>
        <v>2209408671</v>
      </c>
    </row>
    <row r="56" spans="1:8" ht="19.5" customHeight="1">
      <c r="A56" s="128"/>
      <c r="B56" s="133" t="s">
        <v>450</v>
      </c>
      <c r="C56" s="68">
        <v>19900000000</v>
      </c>
      <c r="D56" s="67">
        <v>0</v>
      </c>
      <c r="E56" s="67">
        <v>0</v>
      </c>
      <c r="F56" s="67">
        <f t="shared" si="2"/>
        <v>19900000000</v>
      </c>
      <c r="G56" s="67">
        <f>+'시산표(현금유출입)'!C94-G59</f>
        <v>17160463481</v>
      </c>
      <c r="H56" s="134">
        <f t="shared" si="0"/>
        <v>2739536519</v>
      </c>
    </row>
    <row r="57" spans="1:8" ht="19.5" customHeight="1">
      <c r="A57" s="128"/>
      <c r="B57" s="133" t="s">
        <v>451</v>
      </c>
      <c r="C57" s="68">
        <v>10000000000</v>
      </c>
      <c r="D57" s="67">
        <v>0</v>
      </c>
      <c r="E57" s="67">
        <v>0</v>
      </c>
      <c r="F57" s="67">
        <f t="shared" si="2"/>
        <v>10000000000</v>
      </c>
      <c r="G57" s="67">
        <f>+'시산표(현금유출입)'!C95</f>
        <v>9416268011</v>
      </c>
      <c r="H57" s="134">
        <f t="shared" si="0"/>
        <v>583731989</v>
      </c>
    </row>
    <row r="58" spans="1:8" ht="19.5" customHeight="1">
      <c r="A58" s="128"/>
      <c r="B58" s="133" t="s">
        <v>452</v>
      </c>
      <c r="C58" s="68">
        <v>1610000000</v>
      </c>
      <c r="D58" s="67">
        <v>0</v>
      </c>
      <c r="E58" s="67">
        <v>0</v>
      </c>
      <c r="F58" s="67">
        <f t="shared" si="2"/>
        <v>1610000000</v>
      </c>
      <c r="G58" s="67">
        <f>+'시산표(현금유출입)'!C96</f>
        <v>1228078527</v>
      </c>
      <c r="H58" s="134">
        <f t="shared" si="0"/>
        <v>381921473</v>
      </c>
    </row>
    <row r="59" spans="1:8" ht="19.5" customHeight="1">
      <c r="A59" s="128"/>
      <c r="B59" s="133" t="s">
        <v>642</v>
      </c>
      <c r="C59" s="68">
        <v>2000000000</v>
      </c>
      <c r="D59" s="67">
        <v>0</v>
      </c>
      <c r="E59" s="67"/>
      <c r="F59" s="67">
        <f t="shared" si="2"/>
        <v>2000000000</v>
      </c>
      <c r="G59" s="67">
        <v>1909575425</v>
      </c>
      <c r="H59" s="134">
        <f t="shared" si="0"/>
        <v>90424575</v>
      </c>
    </row>
    <row r="60" spans="1:8" ht="19.5" customHeight="1">
      <c r="A60" s="135"/>
      <c r="B60" s="133" t="s">
        <v>453</v>
      </c>
      <c r="C60" s="68">
        <v>1578000000</v>
      </c>
      <c r="D60" s="67">
        <v>0</v>
      </c>
      <c r="E60" s="67"/>
      <c r="F60" s="67">
        <f t="shared" si="2"/>
        <v>1578000000</v>
      </c>
      <c r="G60" s="67">
        <f>+'시산표(현금유출입)'!C114</f>
        <v>1347231572</v>
      </c>
      <c r="H60" s="134">
        <f t="shared" si="0"/>
        <v>230768428</v>
      </c>
    </row>
    <row r="61" spans="1:8" ht="19.5" customHeight="1">
      <c r="A61" s="413" t="s">
        <v>454</v>
      </c>
      <c r="B61" s="414"/>
      <c r="C61" s="415">
        <f>C62</f>
        <v>1265000000</v>
      </c>
      <c r="D61" s="415">
        <f>D62</f>
        <v>0</v>
      </c>
      <c r="E61" s="415">
        <f>E62</f>
        <v>0</v>
      </c>
      <c r="F61" s="415">
        <f>F62</f>
        <v>1265000000</v>
      </c>
      <c r="G61" s="415">
        <f>G62</f>
        <v>968504810</v>
      </c>
      <c r="H61" s="416">
        <f t="shared" si="0"/>
        <v>296495190</v>
      </c>
    </row>
    <row r="62" spans="1:8" ht="19.5" customHeight="1">
      <c r="A62" s="360" t="s">
        <v>455</v>
      </c>
      <c r="B62" s="133"/>
      <c r="C62" s="67">
        <f>SUM(C63:C64)</f>
        <v>1265000000</v>
      </c>
      <c r="D62" s="67">
        <f>SUM(D63:D64)</f>
        <v>0</v>
      </c>
      <c r="E62" s="67">
        <f>SUM(E63:E64)</f>
        <v>0</v>
      </c>
      <c r="F62" s="67">
        <f>SUM(F63:F64)</f>
        <v>1265000000</v>
      </c>
      <c r="G62" s="67">
        <f>SUM(G63:G64)</f>
        <v>968504810</v>
      </c>
      <c r="H62" s="134">
        <f t="shared" si="0"/>
        <v>296495190</v>
      </c>
    </row>
    <row r="63" spans="1:8" ht="19.5" customHeight="1">
      <c r="A63" s="361"/>
      <c r="B63" s="133" t="s">
        <v>456</v>
      </c>
      <c r="C63" s="67">
        <v>1265000000</v>
      </c>
      <c r="D63" s="67"/>
      <c r="E63" s="67">
        <v>0</v>
      </c>
      <c r="F63" s="67">
        <f>C63+D63+E63</f>
        <v>1265000000</v>
      </c>
      <c r="G63" s="67">
        <f>+'시산표(현금유출입)'!C119</f>
        <v>968504810</v>
      </c>
      <c r="H63" s="134">
        <f t="shared" si="0"/>
        <v>296495190</v>
      </c>
    </row>
    <row r="64" spans="1:8" ht="19.5" customHeight="1">
      <c r="A64" s="135"/>
      <c r="B64" s="129" t="s">
        <v>457</v>
      </c>
      <c r="C64" s="130">
        <v>0</v>
      </c>
      <c r="D64" s="130">
        <v>0</v>
      </c>
      <c r="E64" s="130">
        <v>0</v>
      </c>
      <c r="F64" s="130">
        <f>C64+D64+E64</f>
        <v>0</v>
      </c>
      <c r="G64" s="130">
        <v>0</v>
      </c>
      <c r="H64" s="134">
        <f t="shared" si="0"/>
        <v>0</v>
      </c>
    </row>
    <row r="65" spans="1:8" ht="19.5" customHeight="1">
      <c r="A65" s="409" t="s">
        <v>458</v>
      </c>
      <c r="B65" s="410"/>
      <c r="C65" s="411">
        <f>SUM(C66+C68)</f>
        <v>3976000000</v>
      </c>
      <c r="D65" s="411">
        <f>SUM(D66+D68)</f>
        <v>0</v>
      </c>
      <c r="E65" s="411">
        <f>SUM(E66+E68)</f>
        <v>0</v>
      </c>
      <c r="F65" s="411">
        <f>SUM(F66+F68)</f>
        <v>3976000000</v>
      </c>
      <c r="G65" s="411">
        <f>SUM(G66+G68)</f>
        <v>2041981484</v>
      </c>
      <c r="H65" s="416">
        <f t="shared" si="0"/>
        <v>1934018516</v>
      </c>
    </row>
    <row r="66" spans="1:8" ht="19.5" customHeight="1">
      <c r="A66" s="360" t="s">
        <v>459</v>
      </c>
      <c r="B66" s="133"/>
      <c r="C66" s="67">
        <f>SUM(C67)</f>
        <v>0</v>
      </c>
      <c r="D66" s="67">
        <f>SUM(D67)</f>
        <v>0</v>
      </c>
      <c r="E66" s="67">
        <f>SUM(E67)</f>
        <v>0</v>
      </c>
      <c r="F66" s="67">
        <f>SUM(F67)</f>
        <v>0</v>
      </c>
      <c r="G66" s="67">
        <f>SUM(G67)</f>
        <v>0</v>
      </c>
      <c r="H66" s="134">
        <f t="shared" si="0"/>
        <v>0</v>
      </c>
    </row>
    <row r="67" spans="1:8" ht="19.5" customHeight="1">
      <c r="A67" s="360"/>
      <c r="B67" s="133" t="s">
        <v>460</v>
      </c>
      <c r="C67" s="385">
        <v>0</v>
      </c>
      <c r="D67" s="67">
        <v>0</v>
      </c>
      <c r="E67" s="67">
        <v>0</v>
      </c>
      <c r="F67" s="67">
        <f aca="true" t="shared" si="3" ref="F67:F73">C67+D67+E67</f>
        <v>0</v>
      </c>
      <c r="G67" s="67">
        <v>0</v>
      </c>
      <c r="H67" s="134">
        <f t="shared" si="0"/>
        <v>0</v>
      </c>
    </row>
    <row r="68" spans="1:8" ht="19.5" customHeight="1">
      <c r="A68" s="360" t="s">
        <v>461</v>
      </c>
      <c r="B68" s="133"/>
      <c r="C68" s="67">
        <f>SUM(C69:C73)</f>
        <v>3976000000</v>
      </c>
      <c r="D68" s="67">
        <f>SUM(D69:D73)</f>
        <v>0</v>
      </c>
      <c r="E68" s="67">
        <f>SUM(E69:E73)</f>
        <v>0</v>
      </c>
      <c r="F68" s="67">
        <f>SUM(F69:F73)</f>
        <v>3976000000</v>
      </c>
      <c r="G68" s="67">
        <f>SUM(G69:G73)</f>
        <v>2041981484</v>
      </c>
      <c r="H68" s="134">
        <f t="shared" si="0"/>
        <v>1934018516</v>
      </c>
    </row>
    <row r="69" spans="1:8" ht="19.5" customHeight="1">
      <c r="A69" s="361"/>
      <c r="B69" s="133" t="s">
        <v>462</v>
      </c>
      <c r="C69" s="385">
        <v>500000000</v>
      </c>
      <c r="D69" s="67"/>
      <c r="E69" s="67"/>
      <c r="F69" s="67">
        <f t="shared" si="3"/>
        <v>500000000</v>
      </c>
      <c r="G69" s="67">
        <f>+'시산표(현금유출입)'!C172</f>
        <v>242253832</v>
      </c>
      <c r="H69" s="134">
        <f t="shared" si="0"/>
        <v>257746168</v>
      </c>
    </row>
    <row r="70" spans="1:8" ht="19.5" customHeight="1">
      <c r="A70" s="128"/>
      <c r="B70" s="133" t="s">
        <v>643</v>
      </c>
      <c r="C70" s="67">
        <v>0</v>
      </c>
      <c r="D70" s="67">
        <v>0</v>
      </c>
      <c r="E70" s="67"/>
      <c r="F70" s="67">
        <f t="shared" si="3"/>
        <v>0</v>
      </c>
      <c r="G70" s="67"/>
      <c r="H70" s="134">
        <f t="shared" si="0"/>
        <v>0</v>
      </c>
    </row>
    <row r="71" spans="1:8" ht="19.5" customHeight="1">
      <c r="A71" s="128"/>
      <c r="B71" s="133" t="s">
        <v>644</v>
      </c>
      <c r="C71" s="67">
        <v>0</v>
      </c>
      <c r="D71" s="67">
        <v>0</v>
      </c>
      <c r="E71" s="67"/>
      <c r="F71" s="67">
        <f t="shared" si="3"/>
        <v>0</v>
      </c>
      <c r="G71" s="67">
        <v>0</v>
      </c>
      <c r="H71" s="134">
        <f aca="true" t="shared" si="4" ref="H71:H123">F71-G71</f>
        <v>0</v>
      </c>
    </row>
    <row r="72" spans="1:8" ht="19.5" customHeight="1">
      <c r="A72" s="128"/>
      <c r="B72" s="133" t="s">
        <v>645</v>
      </c>
      <c r="C72" s="67">
        <v>3476000000</v>
      </c>
      <c r="D72" s="67">
        <v>0</v>
      </c>
      <c r="E72" s="67"/>
      <c r="F72" s="67">
        <f t="shared" si="3"/>
        <v>3476000000</v>
      </c>
      <c r="G72" s="67">
        <f>+'시산표(현금유출입)'!C92</f>
        <v>1799727652</v>
      </c>
      <c r="H72" s="134">
        <f t="shared" si="4"/>
        <v>1676272348</v>
      </c>
    </row>
    <row r="73" spans="1:8" ht="19.5" customHeight="1">
      <c r="A73" s="135"/>
      <c r="B73" s="133" t="s">
        <v>646</v>
      </c>
      <c r="C73" s="67">
        <v>0</v>
      </c>
      <c r="D73" s="67"/>
      <c r="E73" s="67"/>
      <c r="F73" s="67">
        <f t="shared" si="3"/>
        <v>0</v>
      </c>
      <c r="G73" s="67">
        <v>0</v>
      </c>
      <c r="H73" s="134">
        <f t="shared" si="4"/>
        <v>0</v>
      </c>
    </row>
    <row r="74" spans="1:8" ht="19.5" customHeight="1">
      <c r="A74" s="413" t="s">
        <v>463</v>
      </c>
      <c r="B74" s="414"/>
      <c r="C74" s="415">
        <f>SUM(C75)</f>
        <v>82944810000</v>
      </c>
      <c r="D74" s="415">
        <f>SUM(D75)</f>
        <v>0</v>
      </c>
      <c r="E74" s="415">
        <f>SUM(E75)</f>
        <v>0</v>
      </c>
      <c r="F74" s="415">
        <f>SUM(F75)</f>
        <v>82944810000</v>
      </c>
      <c r="G74" s="415">
        <f>SUM(G75)</f>
        <v>82338120626</v>
      </c>
      <c r="H74" s="416">
        <f t="shared" si="4"/>
        <v>606689374</v>
      </c>
    </row>
    <row r="75" spans="1:8" ht="19.5" customHeight="1">
      <c r="A75" s="360" t="s">
        <v>464</v>
      </c>
      <c r="B75" s="133"/>
      <c r="C75" s="385">
        <f>SUM(C76:C79)</f>
        <v>82944810000</v>
      </c>
      <c r="D75" s="67">
        <f>SUM(D76:D79)</f>
        <v>0</v>
      </c>
      <c r="E75" s="67">
        <f>SUM(E76:E79)</f>
        <v>0</v>
      </c>
      <c r="F75" s="67">
        <f>SUM(F76:F79)</f>
        <v>82944810000</v>
      </c>
      <c r="G75" s="67">
        <f>SUM(G76:G79)</f>
        <v>82338120626</v>
      </c>
      <c r="H75" s="134">
        <f t="shared" si="4"/>
        <v>606689374</v>
      </c>
    </row>
    <row r="76" spans="1:8" ht="19.5" customHeight="1">
      <c r="A76" s="361"/>
      <c r="B76" s="362" t="s">
        <v>465</v>
      </c>
      <c r="C76" s="385">
        <v>9000000000</v>
      </c>
      <c r="D76" s="68">
        <v>0</v>
      </c>
      <c r="E76" s="68">
        <v>0</v>
      </c>
      <c r="F76" s="67">
        <f>C76+D76+E76</f>
        <v>9000000000</v>
      </c>
      <c r="G76" s="68">
        <v>8770000000</v>
      </c>
      <c r="H76" s="134">
        <f t="shared" si="4"/>
        <v>230000000</v>
      </c>
    </row>
    <row r="77" spans="1:8" ht="19.5" customHeight="1">
      <c r="A77" s="128"/>
      <c r="B77" s="362" t="s">
        <v>466</v>
      </c>
      <c r="C77" s="67">
        <v>0</v>
      </c>
      <c r="D77" s="68">
        <v>0</v>
      </c>
      <c r="E77" s="68">
        <v>0</v>
      </c>
      <c r="F77" s="67">
        <f>C77+D77+E77</f>
        <v>0</v>
      </c>
      <c r="G77" s="68"/>
      <c r="H77" s="134">
        <f t="shared" si="4"/>
        <v>0</v>
      </c>
    </row>
    <row r="78" spans="1:8" ht="19.5" customHeight="1">
      <c r="A78" s="128"/>
      <c r="B78" s="133" t="s">
        <v>467</v>
      </c>
      <c r="C78" s="67">
        <v>0</v>
      </c>
      <c r="D78" s="68">
        <v>0</v>
      </c>
      <c r="E78" s="68">
        <v>0</v>
      </c>
      <c r="F78" s="67">
        <f>C78+D78+E78</f>
        <v>0</v>
      </c>
      <c r="G78" s="67">
        <v>0</v>
      </c>
      <c r="H78" s="134">
        <f t="shared" si="4"/>
        <v>0</v>
      </c>
    </row>
    <row r="79" spans="1:9" ht="19.5" customHeight="1">
      <c r="A79" s="376"/>
      <c r="B79" s="372" t="s">
        <v>647</v>
      </c>
      <c r="C79" s="69">
        <v>73944810000</v>
      </c>
      <c r="D79" s="106">
        <v>0</v>
      </c>
      <c r="E79" s="106"/>
      <c r="F79" s="106">
        <f>C79+D79+E79</f>
        <v>73944810000</v>
      </c>
      <c r="G79" s="106">
        <f>+ocs합잔!E103+ocs합잔!E101-ocs합잔!D99-G76-1653890154</f>
        <v>73568120626</v>
      </c>
      <c r="H79" s="373">
        <f t="shared" si="4"/>
        <v>376689374</v>
      </c>
      <c r="I79" s="119">
        <f>69018810000+13319310626</f>
        <v>82338120626</v>
      </c>
    </row>
    <row r="80" spans="1:8" ht="19.5" customHeight="1">
      <c r="A80" s="409" t="s">
        <v>468</v>
      </c>
      <c r="B80" s="410"/>
      <c r="C80" s="411">
        <f>SUM(C81)</f>
        <v>5000000000</v>
      </c>
      <c r="D80" s="411">
        <f aca="true" t="shared" si="5" ref="D80:G81">SUM(D81)</f>
        <v>-413446733</v>
      </c>
      <c r="E80" s="411">
        <f t="shared" si="5"/>
        <v>0</v>
      </c>
      <c r="F80" s="411">
        <f t="shared" si="5"/>
        <v>4586553267</v>
      </c>
      <c r="G80" s="411">
        <f t="shared" si="5"/>
        <v>0</v>
      </c>
      <c r="H80" s="412">
        <f t="shared" si="4"/>
        <v>4586553267</v>
      </c>
    </row>
    <row r="81" spans="1:8" ht="19.5" customHeight="1">
      <c r="A81" s="360" t="s">
        <v>469</v>
      </c>
      <c r="B81" s="133"/>
      <c r="C81" s="385">
        <f>SUM(C82)</f>
        <v>5000000000</v>
      </c>
      <c r="D81" s="67">
        <f t="shared" si="5"/>
        <v>-413446733</v>
      </c>
      <c r="E81" s="67">
        <f t="shared" si="5"/>
        <v>0</v>
      </c>
      <c r="F81" s="67">
        <f t="shared" si="5"/>
        <v>4586553267</v>
      </c>
      <c r="G81" s="67">
        <f t="shared" si="5"/>
        <v>0</v>
      </c>
      <c r="H81" s="134">
        <f t="shared" si="4"/>
        <v>4586553267</v>
      </c>
    </row>
    <row r="82" spans="1:8" ht="19.5" customHeight="1">
      <c r="A82" s="360"/>
      <c r="B82" s="133" t="s">
        <v>470</v>
      </c>
      <c r="C82" s="385">
        <v>5000000000</v>
      </c>
      <c r="D82" s="67">
        <v>-413446733</v>
      </c>
      <c r="E82" s="67">
        <v>0</v>
      </c>
      <c r="F82" s="67">
        <f>C82+D82+E82</f>
        <v>4586553267</v>
      </c>
      <c r="G82" s="67">
        <v>0</v>
      </c>
      <c r="H82" s="134">
        <f t="shared" si="4"/>
        <v>4586553267</v>
      </c>
    </row>
    <row r="83" spans="1:8" ht="19.5" customHeight="1">
      <c r="A83" s="413" t="s">
        <v>648</v>
      </c>
      <c r="B83" s="414"/>
      <c r="C83" s="415">
        <f>SUM(C84:C85)</f>
        <v>0</v>
      </c>
      <c r="D83" s="415">
        <f>SUM(D84:D85)</f>
        <v>0</v>
      </c>
      <c r="E83" s="415">
        <f>SUM(E84:E85)</f>
        <v>0</v>
      </c>
      <c r="F83" s="415">
        <f>SUM(F84:F85)</f>
        <v>0</v>
      </c>
      <c r="G83" s="415">
        <f>SUM(G84:G85)</f>
        <v>0</v>
      </c>
      <c r="H83" s="416">
        <f t="shared" si="4"/>
        <v>0</v>
      </c>
    </row>
    <row r="84" spans="1:8" ht="19.5" customHeight="1">
      <c r="A84" s="128"/>
      <c r="B84" s="129" t="s">
        <v>649</v>
      </c>
      <c r="C84" s="67">
        <v>0</v>
      </c>
      <c r="D84" s="67">
        <v>0</v>
      </c>
      <c r="E84" s="67">
        <v>0</v>
      </c>
      <c r="F84" s="67">
        <f>C84+D84+E84</f>
        <v>0</v>
      </c>
      <c r="G84" s="67"/>
      <c r="H84" s="134">
        <f t="shared" si="4"/>
        <v>0</v>
      </c>
    </row>
    <row r="85" spans="1:8" ht="19.5" customHeight="1">
      <c r="A85" s="135"/>
      <c r="B85" s="133" t="s">
        <v>650</v>
      </c>
      <c r="C85" s="67">
        <v>0</v>
      </c>
      <c r="D85" s="67">
        <v>0</v>
      </c>
      <c r="E85" s="67">
        <v>0</v>
      </c>
      <c r="F85" s="67">
        <f>C85+D85+E85</f>
        <v>0</v>
      </c>
      <c r="G85" s="67">
        <v>0</v>
      </c>
      <c r="H85" s="134">
        <f t="shared" si="4"/>
        <v>0</v>
      </c>
    </row>
    <row r="86" spans="1:8" ht="19.5" customHeight="1">
      <c r="A86" s="413" t="s">
        <v>471</v>
      </c>
      <c r="B86" s="414"/>
      <c r="C86" s="415">
        <f>C87+C90</f>
        <v>20000000</v>
      </c>
      <c r="D86" s="415">
        <f>D87+D90</f>
        <v>413446733</v>
      </c>
      <c r="E86" s="415">
        <f>+E88+E90</f>
        <v>0</v>
      </c>
      <c r="F86" s="415">
        <f>F87+F90</f>
        <v>433446733</v>
      </c>
      <c r="G86" s="415">
        <f>G87+G90</f>
        <v>433446733</v>
      </c>
      <c r="H86" s="416">
        <f t="shared" si="4"/>
        <v>0</v>
      </c>
    </row>
    <row r="87" spans="1:8" ht="19.5" customHeight="1">
      <c r="A87" s="360" t="s">
        <v>651</v>
      </c>
      <c r="B87" s="368"/>
      <c r="C87" s="369">
        <f>C88+C89</f>
        <v>0</v>
      </c>
      <c r="D87" s="369">
        <f>D88+D89</f>
        <v>0</v>
      </c>
      <c r="E87" s="369"/>
      <c r="F87" s="369">
        <f>F88+F89</f>
        <v>0</v>
      </c>
      <c r="G87" s="369">
        <f>SUM(G88:G89)</f>
        <v>0</v>
      </c>
      <c r="H87" s="134">
        <f t="shared" si="4"/>
        <v>0</v>
      </c>
    </row>
    <row r="88" spans="1:8" ht="19.5" customHeight="1">
      <c r="A88" s="367"/>
      <c r="B88" s="133" t="s">
        <v>652</v>
      </c>
      <c r="C88" s="385"/>
      <c r="D88" s="369"/>
      <c r="E88" s="369"/>
      <c r="F88" s="130">
        <f>C88+D88+E88</f>
        <v>0</v>
      </c>
      <c r="G88" s="67">
        <f>+ocs합잔!G39+ocs합잔!G38+ocs합잔!G40</f>
        <v>0</v>
      </c>
      <c r="H88" s="134">
        <f t="shared" si="4"/>
        <v>0</v>
      </c>
    </row>
    <row r="89" spans="1:8" ht="19.5" customHeight="1">
      <c r="A89" s="367"/>
      <c r="B89" s="133" t="s">
        <v>653</v>
      </c>
      <c r="C89" s="369"/>
      <c r="D89" s="369">
        <v>0</v>
      </c>
      <c r="E89" s="369">
        <v>0</v>
      </c>
      <c r="F89" s="369"/>
      <c r="G89" s="369"/>
      <c r="H89" s="134">
        <f t="shared" si="4"/>
        <v>0</v>
      </c>
    </row>
    <row r="90" spans="1:8" ht="19.5" customHeight="1">
      <c r="A90" s="360" t="s">
        <v>472</v>
      </c>
      <c r="B90" s="133"/>
      <c r="C90" s="67">
        <f>SUM(C91:C93)</f>
        <v>20000000</v>
      </c>
      <c r="D90" s="67">
        <f>SUM(D91:D93)</f>
        <v>413446733</v>
      </c>
      <c r="E90" s="67">
        <f>SUM(E91:E93)</f>
        <v>0</v>
      </c>
      <c r="F90" s="67">
        <f>SUM(F91:F93)</f>
        <v>433446733</v>
      </c>
      <c r="G90" s="67">
        <f>SUM(G91:G93)</f>
        <v>433446733</v>
      </c>
      <c r="H90" s="134">
        <f t="shared" si="4"/>
        <v>0</v>
      </c>
    </row>
    <row r="91" spans="1:8" ht="19.5" customHeight="1">
      <c r="A91" s="361"/>
      <c r="B91" s="387" t="s">
        <v>473</v>
      </c>
      <c r="C91" s="67">
        <v>0</v>
      </c>
      <c r="D91" s="67">
        <v>0</v>
      </c>
      <c r="E91" s="67">
        <v>0</v>
      </c>
      <c r="F91" s="67">
        <f>C91+D91+E91</f>
        <v>0</v>
      </c>
      <c r="G91" s="67">
        <v>0</v>
      </c>
      <c r="H91" s="134">
        <f t="shared" si="4"/>
        <v>0</v>
      </c>
    </row>
    <row r="92" spans="1:8" ht="19.5" customHeight="1">
      <c r="A92" s="128"/>
      <c r="B92" s="133" t="s">
        <v>474</v>
      </c>
      <c r="C92" s="67">
        <v>20000000</v>
      </c>
      <c r="D92" s="67"/>
      <c r="E92" s="67"/>
      <c r="F92" s="67">
        <f>C92+D92+E92</f>
        <v>20000000</v>
      </c>
      <c r="G92" s="67">
        <v>20000000</v>
      </c>
      <c r="H92" s="134">
        <f t="shared" si="4"/>
        <v>0</v>
      </c>
    </row>
    <row r="93" spans="1:8" ht="19.5" customHeight="1">
      <c r="A93" s="135"/>
      <c r="B93" s="129" t="s">
        <v>475</v>
      </c>
      <c r="C93" s="130">
        <v>0</v>
      </c>
      <c r="D93" s="130">
        <v>413446733</v>
      </c>
      <c r="E93" s="130"/>
      <c r="F93" s="130">
        <f>C93+D93+E93</f>
        <v>413446733</v>
      </c>
      <c r="G93" s="130">
        <f>366493+413080240</f>
        <v>413446733</v>
      </c>
      <c r="H93" s="134">
        <f t="shared" si="4"/>
        <v>0</v>
      </c>
    </row>
    <row r="94" spans="1:8" ht="19.5" customHeight="1">
      <c r="A94" s="413" t="s">
        <v>476</v>
      </c>
      <c r="B94" s="414"/>
      <c r="C94" s="415">
        <f>SUM(C95+C103)</f>
        <v>19686000000</v>
      </c>
      <c r="D94" s="415">
        <f>SUM(D95)</f>
        <v>0</v>
      </c>
      <c r="E94" s="415">
        <f>SUM(E95+E103)</f>
        <v>0</v>
      </c>
      <c r="F94" s="415">
        <f>SUM(F95+F103)</f>
        <v>19686000000</v>
      </c>
      <c r="G94" s="415">
        <f>SUM(G95+G103)</f>
        <v>9148063663</v>
      </c>
      <c r="H94" s="416">
        <f t="shared" si="4"/>
        <v>10537936337</v>
      </c>
    </row>
    <row r="95" spans="1:8" ht="19.5" customHeight="1">
      <c r="A95" s="360" t="s">
        <v>477</v>
      </c>
      <c r="B95" s="133"/>
      <c r="C95" s="67">
        <f>SUM(C96:C102)</f>
        <v>19686000000</v>
      </c>
      <c r="D95" s="67">
        <f>SUM(D96:D102)</f>
        <v>0</v>
      </c>
      <c r="E95" s="67">
        <f>SUM(E96:E102)</f>
        <v>-715990000</v>
      </c>
      <c r="F95" s="67">
        <f>SUM(F96:F102)</f>
        <v>18970010000</v>
      </c>
      <c r="G95" s="67">
        <f>SUM(G96:G102)</f>
        <v>8432073663</v>
      </c>
      <c r="H95" s="134">
        <f t="shared" si="4"/>
        <v>10537936337</v>
      </c>
    </row>
    <row r="96" spans="1:8" ht="19.5" customHeight="1">
      <c r="A96" s="361"/>
      <c r="B96" s="133" t="s">
        <v>478</v>
      </c>
      <c r="C96" s="385"/>
      <c r="D96" s="130">
        <v>0</v>
      </c>
      <c r="E96" s="67">
        <v>0</v>
      </c>
      <c r="F96" s="67">
        <f aca="true" t="shared" si="6" ref="F96:F104">C96+D96+E96</f>
        <v>0</v>
      </c>
      <c r="G96" s="67"/>
      <c r="H96" s="134">
        <f t="shared" si="4"/>
        <v>0</v>
      </c>
    </row>
    <row r="97" spans="1:8" ht="19.5" customHeight="1">
      <c r="A97" s="128"/>
      <c r="B97" s="133" t="s">
        <v>479</v>
      </c>
      <c r="C97" s="386">
        <v>5580000000</v>
      </c>
      <c r="D97" s="130">
        <v>0</v>
      </c>
      <c r="E97" s="67"/>
      <c r="F97" s="67">
        <f t="shared" si="6"/>
        <v>5580000000</v>
      </c>
      <c r="G97" s="67">
        <f>4384749144-3782733980+15679400</f>
        <v>617694564</v>
      </c>
      <c r="H97" s="134">
        <f t="shared" si="4"/>
        <v>4962305436</v>
      </c>
    </row>
    <row r="98" spans="1:8" ht="19.5" customHeight="1">
      <c r="A98" s="128"/>
      <c r="B98" s="362" t="s">
        <v>480</v>
      </c>
      <c r="C98" s="386">
        <v>10175000000</v>
      </c>
      <c r="D98" s="130">
        <v>0</v>
      </c>
      <c r="E98" s="67"/>
      <c r="F98" s="67">
        <f t="shared" si="6"/>
        <v>10175000000</v>
      </c>
      <c r="G98" s="68">
        <v>6003225080</v>
      </c>
      <c r="H98" s="134">
        <f t="shared" si="4"/>
        <v>4171774920</v>
      </c>
    </row>
    <row r="99" spans="1:8" ht="19.5" customHeight="1">
      <c r="A99" s="128"/>
      <c r="B99" s="362" t="s">
        <v>481</v>
      </c>
      <c r="C99" s="386">
        <v>2300000000</v>
      </c>
      <c r="D99" s="130">
        <v>0</v>
      </c>
      <c r="E99" s="67">
        <v>-715990000</v>
      </c>
      <c r="F99" s="67">
        <f t="shared" si="6"/>
        <v>1584010000</v>
      </c>
      <c r="G99" s="68">
        <f>299525223+1019140876</f>
        <v>1318666099</v>
      </c>
      <c r="H99" s="134">
        <f t="shared" si="4"/>
        <v>265343901</v>
      </c>
    </row>
    <row r="100" spans="1:8" ht="19.5" customHeight="1">
      <c r="A100" s="128"/>
      <c r="B100" s="133" t="s">
        <v>482</v>
      </c>
      <c r="C100" s="386">
        <v>150000000</v>
      </c>
      <c r="D100" s="130">
        <v>0</v>
      </c>
      <c r="E100" s="67">
        <v>0</v>
      </c>
      <c r="F100" s="67">
        <f t="shared" si="6"/>
        <v>150000000</v>
      </c>
      <c r="G100" s="67">
        <v>44607920</v>
      </c>
      <c r="H100" s="134">
        <f t="shared" si="4"/>
        <v>105392080</v>
      </c>
    </row>
    <row r="101" spans="1:8" ht="19.5" customHeight="1">
      <c r="A101" s="128"/>
      <c r="B101" s="133" t="s">
        <v>483</v>
      </c>
      <c r="C101" s="386">
        <v>1000000</v>
      </c>
      <c r="D101" s="130">
        <v>0</v>
      </c>
      <c r="E101" s="67"/>
      <c r="F101" s="67">
        <f t="shared" si="6"/>
        <v>1000000</v>
      </c>
      <c r="G101" s="67">
        <v>0</v>
      </c>
      <c r="H101" s="134">
        <f t="shared" si="4"/>
        <v>1000000</v>
      </c>
    </row>
    <row r="102" spans="1:8" ht="19.5" customHeight="1">
      <c r="A102" s="135"/>
      <c r="B102" s="133" t="s">
        <v>315</v>
      </c>
      <c r="C102" s="67">
        <v>1480000000</v>
      </c>
      <c r="D102" s="130">
        <v>0</v>
      </c>
      <c r="E102" s="67">
        <v>0</v>
      </c>
      <c r="F102" s="67">
        <f t="shared" si="6"/>
        <v>1480000000</v>
      </c>
      <c r="G102" s="67">
        <v>447880000</v>
      </c>
      <c r="H102" s="134">
        <f t="shared" si="4"/>
        <v>1032120000</v>
      </c>
    </row>
    <row r="103" spans="1:8" ht="19.5" customHeight="1">
      <c r="A103" s="135" t="s">
        <v>757</v>
      </c>
      <c r="B103" s="133"/>
      <c r="C103" s="67"/>
      <c r="D103" s="130"/>
      <c r="E103" s="67">
        <f>E104</f>
        <v>715990000</v>
      </c>
      <c r="F103" s="67">
        <f>F104</f>
        <v>715990000</v>
      </c>
      <c r="G103" s="67">
        <f>+G104</f>
        <v>715990000</v>
      </c>
      <c r="H103" s="134">
        <f t="shared" si="4"/>
        <v>0</v>
      </c>
    </row>
    <row r="104" spans="1:8" ht="19.5" customHeight="1">
      <c r="A104" s="135"/>
      <c r="B104" s="133" t="s">
        <v>756</v>
      </c>
      <c r="C104" s="67"/>
      <c r="D104" s="130"/>
      <c r="E104" s="67">
        <v>715990000</v>
      </c>
      <c r="F104" s="67">
        <f t="shared" si="6"/>
        <v>715990000</v>
      </c>
      <c r="G104" s="67">
        <v>715990000</v>
      </c>
      <c r="H104" s="134">
        <f t="shared" si="4"/>
        <v>0</v>
      </c>
    </row>
    <row r="105" spans="1:8" ht="19.5" customHeight="1">
      <c r="A105" s="413" t="s">
        <v>484</v>
      </c>
      <c r="B105" s="414"/>
      <c r="C105" s="415">
        <f>SUM(C106)</f>
        <v>0</v>
      </c>
      <c r="D105" s="415">
        <f>SUM(D106)</f>
        <v>0</v>
      </c>
      <c r="E105" s="415">
        <f>SUM(E106)</f>
        <v>0</v>
      </c>
      <c r="F105" s="415">
        <f>SUM(F106)</f>
        <v>0</v>
      </c>
      <c r="G105" s="415">
        <f>SUM(G106)</f>
        <v>0</v>
      </c>
      <c r="H105" s="416">
        <f t="shared" si="4"/>
        <v>0</v>
      </c>
    </row>
    <row r="106" spans="1:8" ht="19.5" customHeight="1">
      <c r="A106" s="360" t="s">
        <v>485</v>
      </c>
      <c r="B106" s="133"/>
      <c r="C106" s="67">
        <f>SUM(C107)</f>
        <v>0</v>
      </c>
      <c r="D106" s="67"/>
      <c r="E106" s="67"/>
      <c r="F106" s="67">
        <f>SUM(F107)</f>
        <v>0</v>
      </c>
      <c r="G106" s="67">
        <f>SUM(G107)</f>
        <v>0</v>
      </c>
      <c r="H106" s="134">
        <f t="shared" si="4"/>
        <v>0</v>
      </c>
    </row>
    <row r="107" spans="1:8" ht="19.5" customHeight="1">
      <c r="A107" s="371"/>
      <c r="B107" s="372" t="s">
        <v>486</v>
      </c>
      <c r="C107" s="106">
        <v>0</v>
      </c>
      <c r="D107" s="106">
        <v>0</v>
      </c>
      <c r="E107" s="106">
        <v>0</v>
      </c>
      <c r="F107" s="106">
        <f>C107+D107+E107</f>
        <v>0</v>
      </c>
      <c r="G107" s="106">
        <v>0</v>
      </c>
      <c r="H107" s="373">
        <f t="shared" si="4"/>
        <v>0</v>
      </c>
    </row>
    <row r="108" spans="1:8" ht="19.5" customHeight="1">
      <c r="A108" s="409" t="s">
        <v>487</v>
      </c>
      <c r="B108" s="410"/>
      <c r="C108" s="411">
        <f>SUM(C109+C112)</f>
        <v>0</v>
      </c>
      <c r="D108" s="411">
        <f>SUM(D109+D112)</f>
        <v>0</v>
      </c>
      <c r="E108" s="411">
        <f>SUM(E109+E112)</f>
        <v>0</v>
      </c>
      <c r="F108" s="411">
        <f>SUM(F109+F112)</f>
        <v>0</v>
      </c>
      <c r="G108" s="411">
        <f>SUM(G109+G112)</f>
        <v>0</v>
      </c>
      <c r="H108" s="412">
        <f t="shared" si="4"/>
        <v>0</v>
      </c>
    </row>
    <row r="109" spans="1:8" ht="19.5" customHeight="1">
      <c r="A109" s="135" t="s">
        <v>488</v>
      </c>
      <c r="B109" s="129"/>
      <c r="C109" s="130">
        <f>SUM(C110:C111)</f>
        <v>0</v>
      </c>
      <c r="D109" s="130">
        <f>SUM(D110:D111)</f>
        <v>0</v>
      </c>
      <c r="E109" s="130">
        <f>SUM(E110:E111)</f>
        <v>0</v>
      </c>
      <c r="F109" s="130">
        <f>SUM(F110:F111)</f>
        <v>0</v>
      </c>
      <c r="G109" s="130">
        <f>SUM(G110:G111)</f>
        <v>0</v>
      </c>
      <c r="H109" s="134">
        <f t="shared" si="4"/>
        <v>0</v>
      </c>
    </row>
    <row r="110" spans="1:8" ht="19.5" customHeight="1">
      <c r="A110" s="361"/>
      <c r="B110" s="133" t="s">
        <v>489</v>
      </c>
      <c r="C110" s="386">
        <v>0</v>
      </c>
      <c r="D110" s="67">
        <v>0</v>
      </c>
      <c r="E110" s="67">
        <v>0</v>
      </c>
      <c r="F110" s="67">
        <f>C110+D110+E110</f>
        <v>0</v>
      </c>
      <c r="G110" s="67"/>
      <c r="H110" s="134">
        <f t="shared" si="4"/>
        <v>0</v>
      </c>
    </row>
    <row r="111" spans="1:8" ht="19.5" customHeight="1">
      <c r="A111" s="135"/>
      <c r="B111" s="133" t="s">
        <v>490</v>
      </c>
      <c r="C111" s="67">
        <v>0</v>
      </c>
      <c r="D111" s="67">
        <v>0</v>
      </c>
      <c r="E111" s="67">
        <v>0</v>
      </c>
      <c r="F111" s="67">
        <f>C111+D111+E111</f>
        <v>0</v>
      </c>
      <c r="G111" s="67"/>
      <c r="H111" s="134">
        <f t="shared" si="4"/>
        <v>0</v>
      </c>
    </row>
    <row r="112" spans="1:8" ht="19.5" customHeight="1">
      <c r="A112" s="360" t="s">
        <v>491</v>
      </c>
      <c r="B112" s="133"/>
      <c r="C112" s="67">
        <f>SUM(C113:C115)</f>
        <v>0</v>
      </c>
      <c r="D112" s="67">
        <f>SUM(D113:D115)</f>
        <v>0</v>
      </c>
      <c r="E112" s="67">
        <f>SUM(E113:E115)</f>
        <v>0</v>
      </c>
      <c r="F112" s="67">
        <f>SUM(F113:F115)</f>
        <v>0</v>
      </c>
      <c r="G112" s="67">
        <f>SUM(G113:G115)</f>
        <v>0</v>
      </c>
      <c r="H112" s="134">
        <f t="shared" si="4"/>
        <v>0</v>
      </c>
    </row>
    <row r="113" spans="1:8" ht="19.5" customHeight="1">
      <c r="A113" s="361"/>
      <c r="B113" s="133" t="s">
        <v>492</v>
      </c>
      <c r="C113" s="386">
        <v>0</v>
      </c>
      <c r="D113" s="67"/>
      <c r="E113" s="67">
        <v>0</v>
      </c>
      <c r="F113" s="67">
        <f>C113+D113+E113</f>
        <v>0</v>
      </c>
      <c r="G113" s="67">
        <v>0</v>
      </c>
      <c r="H113" s="134">
        <f t="shared" si="4"/>
        <v>0</v>
      </c>
    </row>
    <row r="114" spans="1:8" ht="19.5" customHeight="1">
      <c r="A114" s="128"/>
      <c r="B114" s="133" t="s">
        <v>493</v>
      </c>
      <c r="C114" s="385">
        <v>0</v>
      </c>
      <c r="D114" s="67">
        <v>0</v>
      </c>
      <c r="E114" s="67">
        <v>0</v>
      </c>
      <c r="F114" s="67">
        <f>C114+D114+E114</f>
        <v>0</v>
      </c>
      <c r="G114" s="67"/>
      <c r="H114" s="134">
        <f t="shared" si="4"/>
        <v>0</v>
      </c>
    </row>
    <row r="115" spans="1:8" ht="19.5" customHeight="1">
      <c r="A115" s="135"/>
      <c r="B115" s="133" t="s">
        <v>494</v>
      </c>
      <c r="C115" s="67">
        <v>0</v>
      </c>
      <c r="D115" s="67">
        <v>0</v>
      </c>
      <c r="E115" s="67">
        <v>0</v>
      </c>
      <c r="F115" s="67">
        <f>C115+D115+E115</f>
        <v>0</v>
      </c>
      <c r="G115" s="67"/>
      <c r="H115" s="134">
        <f t="shared" si="4"/>
        <v>0</v>
      </c>
    </row>
    <row r="116" spans="1:8" ht="19.5" customHeight="1">
      <c r="A116" s="378" t="s">
        <v>495</v>
      </c>
      <c r="B116" s="420"/>
      <c r="C116" s="369">
        <f>'사학자금(수입)'!C69-'사학자금(지출)'!C108-'사학자금(지출)'!C105-'사학자금(지출)'!C94-'사학자금(지출)'!C86-'사학자금(지출)'!C83-'사학자금(지출)'!C80-'사학자금(지출)'!C74-'사학자금(지출)'!C65-'사학자금(지출)'!C61-'사학자금(지출)'!C25-'사학자금(지출)'!C6</f>
        <v>123810011310</v>
      </c>
      <c r="D116" s="369">
        <v>0</v>
      </c>
      <c r="E116" s="369">
        <v>0</v>
      </c>
      <c r="F116" s="369">
        <f>C116+D116+E116</f>
        <v>123810011310</v>
      </c>
      <c r="G116" s="369">
        <f>'사학자금(수입)'!D69-'사학자금(지출)'!G108-'사학자금(지출)'!G105-'사학자금(지출)'!G94-'사학자금(지출)'!G86-'사학자금(지출)'!G83-'사학자금(지출)'!G80-'사학자금(지출)'!G74-'사학자금(지출)'!G65-'사학자금(지출)'!G61-'사학자금(지출)'!G25-'사학자금(지출)'!G6</f>
        <v>153830976273</v>
      </c>
      <c r="H116" s="370">
        <f t="shared" si="4"/>
        <v>-30020964963</v>
      </c>
    </row>
    <row r="117" spans="1:8" ht="19.5" customHeight="1">
      <c r="A117" s="409" t="s">
        <v>496</v>
      </c>
      <c r="B117" s="410"/>
      <c r="C117" s="411">
        <f>SUM(C118:C119)</f>
        <v>0</v>
      </c>
      <c r="D117" s="411"/>
      <c r="E117" s="411"/>
      <c r="F117" s="411">
        <f>SUM(F118:F119)</f>
        <v>0</v>
      </c>
      <c r="G117" s="411">
        <f>SUM(G118:G119)</f>
        <v>186182214800</v>
      </c>
      <c r="H117" s="412">
        <f t="shared" si="4"/>
        <v>-186182214800</v>
      </c>
    </row>
    <row r="118" spans="1:8" ht="19.5" customHeight="1">
      <c r="A118" s="361"/>
      <c r="B118" s="133" t="s">
        <v>497</v>
      </c>
      <c r="C118" s="67">
        <v>0</v>
      </c>
      <c r="D118" s="67">
        <v>0</v>
      </c>
      <c r="E118" s="67">
        <v>0</v>
      </c>
      <c r="F118" s="67"/>
      <c r="G118" s="67">
        <f>+사학bs!D9</f>
        <v>156035701906</v>
      </c>
      <c r="H118" s="134">
        <f t="shared" si="4"/>
        <v>-156035701906</v>
      </c>
    </row>
    <row r="119" spans="1:8" ht="19.5" customHeight="1">
      <c r="A119" s="135"/>
      <c r="B119" s="133" t="s">
        <v>498</v>
      </c>
      <c r="C119" s="67">
        <v>0</v>
      </c>
      <c r="D119" s="67">
        <v>0</v>
      </c>
      <c r="E119" s="67">
        <v>0</v>
      </c>
      <c r="F119" s="67"/>
      <c r="G119" s="67">
        <f>+사학bs!D13</f>
        <v>30146512894</v>
      </c>
      <c r="H119" s="134">
        <f t="shared" si="4"/>
        <v>-30146512894</v>
      </c>
    </row>
    <row r="120" spans="1:8" ht="19.5" customHeight="1">
      <c r="A120" s="413" t="s">
        <v>499</v>
      </c>
      <c r="B120" s="414"/>
      <c r="C120" s="415">
        <f>SUM(C121:C123)</f>
        <v>0</v>
      </c>
      <c r="D120" s="415"/>
      <c r="E120" s="415"/>
      <c r="F120" s="415">
        <f>SUM(F121:F123)</f>
        <v>0</v>
      </c>
      <c r="G120" s="415">
        <f>SUM(G121:G123)</f>
        <v>32351238527</v>
      </c>
      <c r="H120" s="416">
        <f t="shared" si="4"/>
        <v>-32351238527</v>
      </c>
    </row>
    <row r="121" spans="1:8" ht="19.5" customHeight="1">
      <c r="A121" s="361"/>
      <c r="B121" s="133" t="s">
        <v>500</v>
      </c>
      <c r="C121" s="67">
        <v>0</v>
      </c>
      <c r="D121" s="67">
        <v>0</v>
      </c>
      <c r="E121" s="67">
        <v>0</v>
      </c>
      <c r="F121" s="67"/>
      <c r="G121" s="67">
        <f>+사학bs!D73</f>
        <v>1238722231</v>
      </c>
      <c r="H121" s="134">
        <f t="shared" si="4"/>
        <v>-1238722231</v>
      </c>
    </row>
    <row r="122" spans="1:8" ht="19.5" customHeight="1">
      <c r="A122" s="128"/>
      <c r="B122" s="133" t="s">
        <v>501</v>
      </c>
      <c r="C122" s="67">
        <v>0</v>
      </c>
      <c r="D122" s="67">
        <v>0</v>
      </c>
      <c r="E122" s="67">
        <v>0</v>
      </c>
      <c r="F122" s="67"/>
      <c r="G122" s="67">
        <f>+사학bs!D75</f>
        <v>920902240</v>
      </c>
      <c r="H122" s="134">
        <f t="shared" si="4"/>
        <v>-920902240</v>
      </c>
    </row>
    <row r="123" spans="1:8" ht="19.5" customHeight="1">
      <c r="A123" s="135"/>
      <c r="B123" s="133" t="s">
        <v>502</v>
      </c>
      <c r="C123" s="67">
        <v>0</v>
      </c>
      <c r="D123" s="67">
        <v>0</v>
      </c>
      <c r="E123" s="67">
        <v>0</v>
      </c>
      <c r="F123" s="67"/>
      <c r="G123" s="67">
        <f>+사학bs!D78</f>
        <v>30191614056</v>
      </c>
      <c r="H123" s="134">
        <f t="shared" si="4"/>
        <v>-30191614056</v>
      </c>
    </row>
    <row r="124" spans="1:8" ht="19.5" customHeight="1">
      <c r="A124" s="380" t="s">
        <v>503</v>
      </c>
      <c r="B124" s="388"/>
      <c r="C124" s="381">
        <f>+'사학자금(수입)'!C69</f>
        <v>401109221310</v>
      </c>
      <c r="D124" s="381">
        <f>+D116+D108+D105+D94+D86+D83+D80+D74+D65+D61+D25+D6</f>
        <v>0</v>
      </c>
      <c r="E124" s="381">
        <f>+E116+E108+E105+E94+E86+E83+E80+E74+E65+E61+E25+E6</f>
        <v>0</v>
      </c>
      <c r="F124" s="381">
        <f>+F116+F108+F105+F94+F86+F83+F80+F74+F65+F61+F25+F6</f>
        <v>401109221310</v>
      </c>
      <c r="G124" s="381">
        <f>+'사학자금(수입)'!D69</f>
        <v>398042386434</v>
      </c>
      <c r="H124" s="382">
        <f>+F124-G124</f>
        <v>3066834876</v>
      </c>
    </row>
    <row r="126" spans="4:8" ht="14.25">
      <c r="D126" s="181"/>
      <c r="F126" s="181"/>
      <c r="G126" s="181">
        <f>G116-사학bs!D116</f>
        <v>0</v>
      </c>
      <c r="H126" s="181"/>
    </row>
    <row r="127" spans="3:6" ht="14.25">
      <c r="C127" s="181"/>
      <c r="F127" s="181"/>
    </row>
    <row r="128" spans="6:7" ht="14.25">
      <c r="F128" s="181"/>
      <c r="G128" s="490"/>
    </row>
    <row r="129" ht="14.25">
      <c r="G129" s="181"/>
    </row>
    <row r="130" ht="14.25">
      <c r="G130" s="181"/>
    </row>
    <row r="131" ht="14.25">
      <c r="G131" s="181"/>
    </row>
    <row r="132" ht="14.25">
      <c r="G132" s="181"/>
    </row>
    <row r="134" ht="14.25">
      <c r="G134" s="181"/>
    </row>
    <row r="135" ht="14.25">
      <c r="G135" s="181"/>
    </row>
  </sheetData>
  <sheetProtection/>
  <mergeCells count="3">
    <mergeCell ref="C4:F4"/>
    <mergeCell ref="G4:G5"/>
    <mergeCell ref="H4:H5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scale="74" r:id="rId3"/>
  <headerFooter alignWithMargins="0">
    <oddFooter>&amp;C&amp;P 쪽</oddFooter>
  </headerFooter>
  <rowBreaks count="3" manualBreakCount="3">
    <brk id="29" max="7" man="1"/>
    <brk id="53" max="7" man="1"/>
    <brk id="7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강동식</dc:creator>
  <cp:keywords/>
  <dc:description/>
  <cp:lastModifiedBy>EMCN</cp:lastModifiedBy>
  <cp:lastPrinted>2019-04-24T07:42:53Z</cp:lastPrinted>
  <dcterms:created xsi:type="dcterms:W3CDTF">2002-03-20T06:14:47Z</dcterms:created>
  <dcterms:modified xsi:type="dcterms:W3CDTF">2019-05-13T08:14:25Z</dcterms:modified>
  <cp:category/>
  <cp:version/>
  <cp:contentType/>
  <cp:contentStatus/>
</cp:coreProperties>
</file>