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9360" windowHeight="10905" tabRatio="794" activeTab="6"/>
  </bookViews>
  <sheets>
    <sheet name="표지" sheetId="1" r:id="rId1"/>
    <sheet name="간지" sheetId="2" r:id="rId2"/>
    <sheet name="학교비-예산총칙" sheetId="3" r:id="rId3"/>
    <sheet name="총괄표" sheetId="4" r:id="rId4"/>
    <sheet name="예산총괄표(등록금,비등록금)" sheetId="5" r:id="rId5"/>
    <sheet name="(수입-교비회계)" sheetId="6" r:id="rId6"/>
    <sheet name="(지출-교비회계)" sheetId="7" r:id="rId7"/>
    <sheet name="(수입-등록금회계)" sheetId="8" r:id="rId8"/>
    <sheet name="(지출-등록금회계)" sheetId="9" r:id="rId9"/>
    <sheet name="(수입-비등록금회계)" sheetId="10" r:id="rId10"/>
    <sheet name="(지출-비등록금회계)" sheetId="11" r:id="rId11"/>
    <sheet name="본예산 수입 참고자료" sheetId="12" state="hidden" r:id="rId12"/>
    <sheet name="본예산 지출 참고자료" sheetId="13" state="hidden" r:id="rId13"/>
    <sheet name="전기말추정미수금" sheetId="14" r:id="rId14"/>
    <sheet name="전기말추정차입금" sheetId="15" r:id="rId15"/>
    <sheet name="등록금명세서(대전)" sheetId="16" r:id="rId16"/>
    <sheet name="등록금명세서(성남)" sheetId="17" r:id="rId17"/>
    <sheet name="대학원등록금명세서(대전)" sheetId="18" r:id="rId18"/>
    <sheet name="학년별학과별학생수(대전)" sheetId="19" r:id="rId19"/>
    <sheet name="학년별학과별학생수(성남)" sheetId="20" r:id="rId20"/>
    <sheet name="인건비" sheetId="21" r:id="rId21"/>
  </sheets>
  <externalReferences>
    <externalReference r:id="rId24"/>
    <externalReference r:id="rId25"/>
  </externalReferences>
  <definedNames>
    <definedName name="iv" localSheetId="9">'[1]교비지출'!#REF!</definedName>
    <definedName name="iv" localSheetId="10">'[1]교비지출'!#REF!</definedName>
    <definedName name="iv" localSheetId="17">'[2]교비지출'!#REF!</definedName>
    <definedName name="iv" localSheetId="15">'[1]교비지출'!#REF!</definedName>
    <definedName name="iv" localSheetId="16">'[1]교비지출'!#REF!</definedName>
    <definedName name="iv" localSheetId="11">'[1]교비지출'!#REF!</definedName>
    <definedName name="iv" localSheetId="12">'[1]교비지출'!#REF!</definedName>
    <definedName name="iv" localSheetId="4">'[1]교비지출'!#REF!</definedName>
    <definedName name="iv" localSheetId="18">'[1]교비지출'!#REF!</definedName>
    <definedName name="iv">'[1]교비지출'!#REF!</definedName>
    <definedName name="_xlnm.Print_Area" localSheetId="5">'(수입-교비회계)'!$A$1:$I$129</definedName>
    <definedName name="_xlnm.Print_Area" localSheetId="7">'(수입-등록금회계)'!$A$1:$G$165</definedName>
    <definedName name="_xlnm.Print_Area" localSheetId="9">'(수입-비등록금회계)'!$A$1:$G$187</definedName>
    <definedName name="_xlnm.Print_Area" localSheetId="6">'(지출-교비회계)'!$A$1:$I$216</definedName>
    <definedName name="_xlnm.Print_Area" localSheetId="8">'(지출-등록금회계)'!$A$1:$P$610</definedName>
    <definedName name="_xlnm.Print_Area" localSheetId="10">'(지출-비등록금회계)'!$A$1:$P$541</definedName>
    <definedName name="_xlnm.Print_Area" localSheetId="16">'등록금명세서(성남)'!$A$1:$M$30</definedName>
    <definedName name="_xlnm.Print_Area" localSheetId="11">'본예산 수입 참고자료'!$A$1:$K$68</definedName>
    <definedName name="_xlnm.Print_Area" localSheetId="12">'본예산 지출 참고자료'!$A$1:$J$112</definedName>
    <definedName name="_xlnm.Print_Area" localSheetId="4">'예산총괄표(등록금,비등록금)'!$A$1:$AF$46</definedName>
    <definedName name="_xlnm.Print_Area" localSheetId="3">'총괄표'!$A$1:$J$18</definedName>
    <definedName name="_xlnm.Print_Area" localSheetId="0">'표지'!$A$1:$L$27</definedName>
    <definedName name="_xlnm.Print_Titles" localSheetId="5">'(수입-교비회계)'!$4:$6</definedName>
    <definedName name="_xlnm.Print_Titles" localSheetId="7">'(수입-등록금회계)'!$4:$6</definedName>
    <definedName name="_xlnm.Print_Titles" localSheetId="9">'(수입-비등록금회계)'!$4:$6</definedName>
    <definedName name="_xlnm.Print_Titles" localSheetId="6">'(지출-교비회계)'!$3:$5</definedName>
    <definedName name="_xlnm.Print_Titles" localSheetId="8">'(지출-등록금회계)'!$3:$5</definedName>
    <definedName name="_xlnm.Print_Titles" localSheetId="10">'(지출-비등록금회계)'!$3:$5</definedName>
    <definedName name="_xlnm.Print_Titles" localSheetId="16">'등록금명세서(성남)'!$2:$6</definedName>
    <definedName name="_xlnm.Print_Titles" localSheetId="11">'본예산 수입 참고자료'!$1:$5</definedName>
    <definedName name="_xlnm.Print_Titles" localSheetId="12">'본예산 지출 참고자료'!$1:$5</definedName>
    <definedName name="rk" localSheetId="4">'[1]교비지출'!#REF!</definedName>
    <definedName name="rk">'[1]교비지출'!#REF!</definedName>
    <definedName name="가" localSheetId="4">'[1]교비지출'!#REF!</definedName>
    <definedName name="가">'[1]교비지출'!#REF!</definedName>
    <definedName name="ㄷ" localSheetId="4">'[1]교비지출'!#REF!</definedName>
    <definedName name="ㄷ">'[1]교비지출'!#REF!</definedName>
    <definedName name="이름" localSheetId="9">'[1]교비지출'!#REF!</definedName>
    <definedName name="이름" localSheetId="10">'[1]교비지출'!#REF!</definedName>
    <definedName name="이름" localSheetId="16">'[1]교비지출'!#REF!</definedName>
    <definedName name="이름" localSheetId="11">'[1]교비지출'!#REF!</definedName>
    <definedName name="이름" localSheetId="12">'[1]교비지출'!#REF!</definedName>
    <definedName name="이름" localSheetId="4">'[1]교비지출'!#REF!</definedName>
    <definedName name="이름">'[1]교비지출'!#REF!</definedName>
  </definedNames>
  <calcPr fullCalcOnLoad="1"/>
</workbook>
</file>

<file path=xl/comments12.xml><?xml version="1.0" encoding="utf-8"?>
<comments xmlns="http://schemas.openxmlformats.org/spreadsheetml/2006/main">
  <authors>
    <author>SEC</author>
  </authors>
  <commentList>
    <comment ref="G21" authorId="0">
      <text>
        <r>
          <rPr>
            <b/>
            <sz val="11"/>
            <rFont val="굴림"/>
            <family val="3"/>
          </rPr>
          <t>기금적립</t>
        </r>
      </text>
    </comment>
    <comment ref="G54" authorId="0">
      <text>
        <r>
          <rPr>
            <b/>
            <sz val="11"/>
            <rFont val="굴림"/>
            <family val="3"/>
          </rPr>
          <t xml:space="preserve">의정부캠퍼스 건축비 인출분(임의건축기금)
(총공사비 600억원 중) 
 합  계  8,940,000,000원
 -설계비  1,620,000,000원
 -감리비    300,000,000원
 -공사비  7,020,000,000원 
을지관뒤공터시설조성비 인출분(임의건축기금)
 (총공사비 1,254,540,636원중)
  합 계   1,234,740,636원
 -설계비     46,200,000원
 -공사비 1,188,540,636원   </t>
        </r>
      </text>
    </comment>
  </commentList>
</comments>
</file>

<file path=xl/comments13.xml><?xml version="1.0" encoding="utf-8"?>
<comments xmlns="http://schemas.openxmlformats.org/spreadsheetml/2006/main">
  <authors>
    <author>SEC</author>
    <author>박일권</author>
  </authors>
  <commentList>
    <comment ref="F78" authorId="0">
      <text>
        <r>
          <rPr>
            <b/>
            <sz val="11"/>
            <rFont val="굴림"/>
            <family val="3"/>
          </rPr>
          <t>기금인출(2014삭제)</t>
        </r>
      </text>
    </comment>
    <comment ref="E79" authorId="0">
      <text>
        <r>
          <rPr>
            <b/>
            <sz val="11"/>
            <rFont val="굴림"/>
            <family val="3"/>
          </rPr>
          <t>기금적립(2014삭제)</t>
        </r>
      </text>
    </comment>
    <comment ref="F89" authorId="0">
      <text>
        <r>
          <rPr>
            <b/>
            <sz val="11"/>
            <rFont val="굴림"/>
            <family val="3"/>
          </rPr>
          <t>기금적립</t>
        </r>
      </text>
    </comment>
    <comment ref="F91" authorId="1">
      <text>
        <r>
          <rPr>
            <b/>
            <sz val="11"/>
            <rFont val="돋움"/>
            <family val="3"/>
          </rPr>
          <t xml:space="preserve">*적립재원
 건축기금이자분(성남)
              845,000,000원
 건축기금이자분(대전)
               70,142,760원
부속병원전입금
          10,000,000,000원
전기이월분
</t>
        </r>
        <r>
          <rPr>
            <b/>
            <u val="single"/>
            <sz val="11"/>
            <rFont val="돋움"/>
            <family val="3"/>
          </rPr>
          <t xml:space="preserve">            2,000,000,000원</t>
        </r>
        <r>
          <rPr>
            <b/>
            <sz val="11"/>
            <rFont val="돋움"/>
            <family val="3"/>
          </rPr>
          <t xml:space="preserve">
합계     12,915,142,760원
</t>
        </r>
      </text>
    </comment>
  </commentList>
</comments>
</file>

<file path=xl/sharedStrings.xml><?xml version="1.0" encoding="utf-8"?>
<sst xmlns="http://schemas.openxmlformats.org/spreadsheetml/2006/main" count="2555" uniqueCount="1525">
  <si>
    <t>기타자산
지출</t>
  </si>
  <si>
    <t>연구,학생
경비</t>
  </si>
  <si>
    <t>학생경비</t>
  </si>
  <si>
    <t xml:space="preserve"> </t>
  </si>
  <si>
    <t>합         계</t>
  </si>
  <si>
    <t>산  출  근  거</t>
  </si>
  <si>
    <t>(성남캠퍼스)</t>
  </si>
  <si>
    <t xml:space="preserve"> (대전캠퍼스)</t>
  </si>
  <si>
    <t xml:space="preserve"> (성남캠퍼스)</t>
  </si>
  <si>
    <t>산  출  근  거</t>
  </si>
  <si>
    <t>입학금</t>
  </si>
  <si>
    <t>수업료</t>
  </si>
  <si>
    <t>단기수강료</t>
  </si>
  <si>
    <t>경상비
전입금</t>
  </si>
  <si>
    <t>법정부담금전입금</t>
  </si>
  <si>
    <t>부속병원
전입금</t>
  </si>
  <si>
    <t>교육과학
기술부</t>
  </si>
  <si>
    <t>기타국고지원</t>
  </si>
  <si>
    <t>지방자치단체</t>
  </si>
  <si>
    <t>입학원서대</t>
  </si>
  <si>
    <t>수험료</t>
  </si>
  <si>
    <t>증명료</t>
  </si>
  <si>
    <t>대여료및
사용료</t>
  </si>
  <si>
    <t>논문 심사 
수입</t>
  </si>
  <si>
    <t xml:space="preserve">5339
</t>
  </si>
  <si>
    <t>기타교육
부대수입</t>
  </si>
  <si>
    <t>잡수입</t>
  </si>
  <si>
    <t>투자유가
증권매각대</t>
  </si>
  <si>
    <t>임차보증금
회수</t>
  </si>
  <si>
    <t>임의연구
기금인출</t>
  </si>
  <si>
    <t>임의건축
기금인출</t>
  </si>
  <si>
    <t>토지매각대</t>
  </si>
  <si>
    <t>기계기구
매각대</t>
  </si>
  <si>
    <t>집기비품
매각대</t>
  </si>
  <si>
    <t>차량운반구
매각대</t>
  </si>
  <si>
    <t>장기차입금
차입</t>
  </si>
  <si>
    <t>임대보증금
수입</t>
  </si>
  <si>
    <t>전입및
기부수입</t>
  </si>
  <si>
    <t xml:space="preserve"> </t>
  </si>
  <si>
    <t>해</t>
  </si>
  <si>
    <t>당</t>
  </si>
  <si>
    <t>사</t>
  </si>
  <si>
    <t>없</t>
  </si>
  <si>
    <t>슴</t>
  </si>
  <si>
    <t>합      계</t>
  </si>
  <si>
    <t>전출금</t>
  </si>
  <si>
    <t>교내전출금</t>
  </si>
  <si>
    <t>투자와기타
자산지출</t>
  </si>
  <si>
    <t>임의
기금적립</t>
  </si>
  <si>
    <t>임의연구
기금적립</t>
  </si>
  <si>
    <t>임의건축
기금적립</t>
  </si>
  <si>
    <t>임의기타
기금적립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</si>
  <si>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</si>
  <si>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</si>
  <si>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</si>
  <si>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</si>
  <si>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</si>
  <si>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</si>
  <si>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</si>
  <si>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</si>
  <si>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</si>
  <si>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>자금수입
총     계</t>
  </si>
  <si>
    <t>자금지출
총     계</t>
  </si>
  <si>
    <t>미사용전기
이월자금</t>
  </si>
  <si>
    <t>교내장학금</t>
  </si>
  <si>
    <t>교외장학금</t>
  </si>
  <si>
    <t>건축물 수시 개보수공사외</t>
  </si>
  <si>
    <t>교직원 일반출장여비</t>
  </si>
  <si>
    <t xml:space="preserve">  전화 전용회선사용료</t>
  </si>
  <si>
    <t>기타운영비</t>
  </si>
  <si>
    <t xml:space="preserve"> 교원인사 신규임용 제경비</t>
  </si>
  <si>
    <t xml:space="preserve"> 평생교육원 교육관련 제경비</t>
  </si>
  <si>
    <t xml:space="preserve"> 외국어교육원 교육관련 제경비</t>
  </si>
  <si>
    <t xml:space="preserve"> 을지인력개발원 운영 제경비</t>
  </si>
  <si>
    <t>합          계</t>
  </si>
  <si>
    <t xml:space="preserve">  중독재활복지학과</t>
  </si>
  <si>
    <t xml:space="preserve"> </t>
  </si>
  <si>
    <t>합       계</t>
  </si>
  <si>
    <t xml:space="preserve">  을지인력개발원 차량보험료등</t>
  </si>
  <si>
    <t xml:space="preserve">  연구활동종사자보험</t>
  </si>
  <si>
    <t>내  용</t>
  </si>
  <si>
    <t>비 고</t>
  </si>
  <si>
    <t xml:space="preserve">  입시박람회</t>
  </si>
  <si>
    <t xml:space="preserve"> 예비비</t>
  </si>
  <si>
    <t>기타지급수수료</t>
  </si>
  <si>
    <t xml:space="preserve"> 보직교직원 업무추진비</t>
  </si>
  <si>
    <t>각종 워크샵 참가 여비</t>
  </si>
  <si>
    <t xml:space="preserve">  1. 수입의부</t>
  </si>
  <si>
    <t>(단위:천원)</t>
  </si>
  <si>
    <t>(별지 제1의1호 서식)</t>
  </si>
  <si>
    <t>전기말 추정 미수금 명세서</t>
  </si>
  <si>
    <t xml:space="preserve">          해   당   사   항   없   슴</t>
  </si>
  <si>
    <t>특별강의료</t>
  </si>
  <si>
    <t>전기말 추정 차입금 명세서</t>
  </si>
  <si>
    <t>(단위: 원)</t>
  </si>
  <si>
    <t>상  여</t>
  </si>
  <si>
    <t>시간강사료</t>
  </si>
  <si>
    <t>교원퇴직금</t>
  </si>
  <si>
    <t>차량운반구
매입비</t>
  </si>
  <si>
    <t>비고</t>
  </si>
  <si>
    <t>금액</t>
  </si>
  <si>
    <t xml:space="preserve"> </t>
  </si>
  <si>
    <t>관리운영비</t>
  </si>
  <si>
    <t>사학연금 법정부담금</t>
  </si>
  <si>
    <t>12월</t>
  </si>
  <si>
    <t>X</t>
  </si>
  <si>
    <t xml:space="preserve">건강보험료 법정부담금 </t>
  </si>
  <si>
    <t>운영비</t>
  </si>
  <si>
    <t>행사비</t>
  </si>
  <si>
    <t>연구비</t>
  </si>
  <si>
    <t>교육외비용</t>
  </si>
  <si>
    <t>잡손실</t>
  </si>
  <si>
    <t>예비비</t>
  </si>
  <si>
    <t>관</t>
  </si>
  <si>
    <t>항</t>
  </si>
  <si>
    <t>등록금수입</t>
  </si>
  <si>
    <t>수강료수입</t>
  </si>
  <si>
    <t>전입금수입</t>
  </si>
  <si>
    <t>기부금수입</t>
  </si>
  <si>
    <t>증명,사용료수입</t>
  </si>
  <si>
    <t xml:space="preserve"> </t>
  </si>
  <si>
    <t>비  고</t>
  </si>
  <si>
    <t>구 분</t>
  </si>
  <si>
    <t>종 류</t>
  </si>
  <si>
    <t>직급</t>
  </si>
  <si>
    <t>세 분</t>
  </si>
  <si>
    <t>인원</t>
  </si>
  <si>
    <t>금 액</t>
  </si>
  <si>
    <t>1인당 평균액</t>
  </si>
  <si>
    <t>교 원</t>
  </si>
  <si>
    <t>급 여</t>
  </si>
  <si>
    <t>상 여</t>
  </si>
  <si>
    <t>제수당</t>
  </si>
  <si>
    <t>법정부담금</t>
  </si>
  <si>
    <t>퇴직금</t>
  </si>
  <si>
    <t>합  계</t>
  </si>
  <si>
    <t>강사료</t>
  </si>
  <si>
    <t>합 계</t>
  </si>
  <si>
    <t>조  교</t>
  </si>
  <si>
    <t>인건비</t>
  </si>
  <si>
    <t>직 원</t>
  </si>
  <si>
    <t>임시직</t>
  </si>
  <si>
    <t>노 임</t>
  </si>
  <si>
    <t>총   계</t>
  </si>
  <si>
    <t>(단위:천원)</t>
  </si>
  <si>
    <t>예 산 부 속 명 세 서</t>
  </si>
  <si>
    <t>이  사  회  회  의  록</t>
  </si>
  <si>
    <t>연구기부금</t>
  </si>
  <si>
    <t>(성남캠퍼스)</t>
  </si>
  <si>
    <t>학교법인 을지학원</t>
  </si>
  <si>
    <t>을  지  대  학  교</t>
  </si>
  <si>
    <t>(별지 제1의2호서식)</t>
  </si>
  <si>
    <t>허가근거</t>
  </si>
  <si>
    <t>차입처</t>
  </si>
  <si>
    <t>차입내역</t>
  </si>
  <si>
    <t>연월일</t>
  </si>
  <si>
    <t>합    계</t>
  </si>
  <si>
    <t>대 학 평 의 원 회 자 문  회 의 록</t>
  </si>
  <si>
    <t>예비비</t>
  </si>
  <si>
    <t xml:space="preserve">    </t>
  </si>
  <si>
    <t>X</t>
  </si>
  <si>
    <t>인 건 비 명 세 서</t>
  </si>
  <si>
    <t>교원성과급</t>
  </si>
  <si>
    <t xml:space="preserve">  임상병리학과</t>
  </si>
  <si>
    <t xml:space="preserve">  방사선학과</t>
  </si>
  <si>
    <t xml:space="preserve">  치위생학과</t>
  </si>
  <si>
    <t xml:space="preserve">  물리치료학과</t>
  </si>
  <si>
    <t xml:space="preserve">  간호학과</t>
  </si>
  <si>
    <t xml:space="preserve">  안경광학과</t>
  </si>
  <si>
    <t xml:space="preserve">  의료공학과 </t>
  </si>
  <si>
    <t xml:space="preserve">  응급구조학과</t>
  </si>
  <si>
    <t xml:space="preserve">  피부관리학과</t>
  </si>
  <si>
    <t xml:space="preserve">  장례지도학과</t>
  </si>
  <si>
    <t xml:space="preserve">  유아교육학과</t>
  </si>
  <si>
    <t xml:space="preserve">  논문심사료</t>
  </si>
  <si>
    <t>지급이자</t>
  </si>
  <si>
    <t>학교비 자금 예산 총칙</t>
  </si>
  <si>
    <t>학교비 세입 세출 예산서 총괄표</t>
  </si>
  <si>
    <t>자 금 예 산 서</t>
  </si>
  <si>
    <t xml:space="preserve">     (단위:천원)</t>
  </si>
  <si>
    <t xml:space="preserve"> 금    액</t>
  </si>
  <si>
    <t xml:space="preserve"> 금 액</t>
  </si>
  <si>
    <t>구성비</t>
  </si>
  <si>
    <t>전입및기부수입</t>
  </si>
  <si>
    <t>투자와기타자산수입</t>
  </si>
  <si>
    <t>고정자산매각수입</t>
  </si>
  <si>
    <t>미사용전기이월자금</t>
  </si>
  <si>
    <t>미사용차기이월자금</t>
  </si>
  <si>
    <t xml:space="preserve">  의료경영학과</t>
  </si>
  <si>
    <t>전출금</t>
  </si>
  <si>
    <t>교내전출금</t>
  </si>
  <si>
    <t>12개월</t>
  </si>
  <si>
    <t>교내 연구비</t>
  </si>
  <si>
    <t xml:space="preserve">  의료IT마케팅학과</t>
  </si>
  <si>
    <t>(별지 제1의5호 서식)</t>
  </si>
  <si>
    <t>전기말
잔  액</t>
  </si>
  <si>
    <t>지  급
이자율</t>
  </si>
  <si>
    <t>잔존상환
기    간</t>
  </si>
  <si>
    <t>차기상환
예정액</t>
  </si>
  <si>
    <t>합      계</t>
  </si>
  <si>
    <t xml:space="preserve">◎ 을지대학교 </t>
  </si>
  <si>
    <t xml:space="preserve">  1. 수입의부</t>
  </si>
  <si>
    <t>(단위:천원)</t>
  </si>
  <si>
    <t>과  목</t>
  </si>
  <si>
    <t>국고보조금
수입</t>
  </si>
  <si>
    <t>교외장학금</t>
  </si>
  <si>
    <t>등록금
수입</t>
  </si>
  <si>
    <t>교육
부대수입</t>
  </si>
  <si>
    <t>입시수수료
수입</t>
  </si>
  <si>
    <t>기타교육
부대수입</t>
  </si>
  <si>
    <t>교육외
수입</t>
  </si>
  <si>
    <t>예금이자
수입</t>
  </si>
  <si>
    <t>기타교육
외수입</t>
  </si>
  <si>
    <t>투자와
기타자산</t>
  </si>
  <si>
    <t>투자자산
매입</t>
  </si>
  <si>
    <t>임의기금
인출수입</t>
  </si>
  <si>
    <t>기타자산
수입</t>
  </si>
  <si>
    <t>유형고정
자산매각
수     입</t>
  </si>
  <si>
    <t>고정부채
입금</t>
  </si>
  <si>
    <t>장기차입금</t>
  </si>
  <si>
    <t>기타고정부채</t>
  </si>
  <si>
    <t>전기이월
자금</t>
  </si>
  <si>
    <t>기초
유동자산</t>
  </si>
  <si>
    <t>기초
유동부채</t>
  </si>
  <si>
    <t xml:space="preserve"> 2. 지출의부</t>
  </si>
  <si>
    <t>과                목</t>
  </si>
  <si>
    <t>관</t>
  </si>
  <si>
    <t>항</t>
  </si>
  <si>
    <t>목</t>
  </si>
  <si>
    <t>보  수</t>
  </si>
  <si>
    <t>교원보수</t>
  </si>
  <si>
    <t>교원급여</t>
  </si>
  <si>
    <t>교원상여금</t>
  </si>
  <si>
    <t>교원제수당</t>
  </si>
  <si>
    <t>교원법정
부담금</t>
  </si>
  <si>
    <t>시간강의료</t>
  </si>
  <si>
    <t>조교인건비</t>
  </si>
  <si>
    <t>직원보수</t>
  </si>
  <si>
    <t>직원급여</t>
  </si>
  <si>
    <t>직원상여금</t>
  </si>
  <si>
    <t>직원제수당</t>
  </si>
  <si>
    <t>직원법정
부담금</t>
  </si>
  <si>
    <t>국민연금 법정부담금</t>
  </si>
  <si>
    <t>노임</t>
  </si>
  <si>
    <t>직원퇴직금</t>
  </si>
  <si>
    <t>관리운영비</t>
  </si>
  <si>
    <t>시설관리비</t>
  </si>
  <si>
    <t>건축물
관리비</t>
  </si>
  <si>
    <t>장비
관리비</t>
  </si>
  <si>
    <t>합         계</t>
  </si>
  <si>
    <t>조경관리비</t>
  </si>
  <si>
    <t>박물관
관리비</t>
  </si>
  <si>
    <t>시설용역비</t>
  </si>
  <si>
    <t>보험료</t>
  </si>
  <si>
    <t>리스,임차료</t>
  </si>
  <si>
    <t>기타시설관리비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</si>
  <si>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</si>
  <si>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</si>
  <si>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</si>
  <si>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</si>
  <si>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</si>
  <si>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</si>
  <si>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</si>
  <si>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</si>
  <si>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</si>
  <si>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</si>
  <si>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</si>
  <si>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</si>
  <si>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</si>
  <si>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</si>
  <si>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</si>
  <si>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</si>
  <si>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</si>
  <si>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</si>
  <si>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</si>
  <si>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연구,학생
경비</t>
  </si>
  <si>
    <t>연구비</t>
  </si>
  <si>
    <t>연구관리비</t>
  </si>
  <si>
    <t>학생경비</t>
  </si>
  <si>
    <t>실험실습비</t>
  </si>
  <si>
    <t>논문심사료</t>
  </si>
  <si>
    <t>학생지원비</t>
  </si>
  <si>
    <t>기타
학생경비</t>
  </si>
  <si>
    <t>입시관리비</t>
  </si>
  <si>
    <t>입시수당</t>
  </si>
  <si>
    <t>입시경비</t>
  </si>
  <si>
    <t>교육외비용</t>
  </si>
  <si>
    <t>기타교육외비용</t>
  </si>
  <si>
    <t>잡손실</t>
  </si>
  <si>
    <t>기금회계전출금</t>
  </si>
  <si>
    <t>투자와기타
자산지출</t>
  </si>
  <si>
    <t>투자자산
지출</t>
  </si>
  <si>
    <t>투자유가
증권매입대</t>
  </si>
  <si>
    <t>임의
기금적립</t>
  </si>
  <si>
    <t>임의연구
기금적립</t>
  </si>
  <si>
    <t>임의건축
기금적립</t>
  </si>
  <si>
    <t>임의기타
기금적립</t>
  </si>
  <si>
    <t>고정자산
매입지출</t>
  </si>
  <si>
    <t>유형고정
자산매입
지출</t>
  </si>
  <si>
    <t>토지
매입비</t>
  </si>
  <si>
    <t>건물
매입비</t>
  </si>
  <si>
    <t>구축물
매입비</t>
  </si>
  <si>
    <t>기계기구
매입비</t>
  </si>
  <si>
    <t>집기비품
매입비</t>
  </si>
  <si>
    <t>도서구입비</t>
  </si>
  <si>
    <t xml:space="preserve">  국내외 정기간행물 구입비</t>
  </si>
  <si>
    <t>박물관
유물구입비</t>
  </si>
  <si>
    <t>건설가계정</t>
  </si>
  <si>
    <t>무형
고정자산</t>
  </si>
  <si>
    <t>무형고정
자산취득비</t>
  </si>
  <si>
    <t>고정부채
상환</t>
  </si>
  <si>
    <t>장기차입금상환</t>
  </si>
  <si>
    <t>기타고정
부채상환</t>
  </si>
  <si>
    <t>임대보증금환급</t>
  </si>
  <si>
    <t>생활관 임대보증금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</si>
  <si>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</si>
  <si>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</si>
  <si>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</si>
  <si>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</si>
  <si>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</si>
  <si>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</si>
  <si>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</si>
  <si>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</si>
  <si>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</si>
  <si>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>증 감 
(A -B)</t>
  </si>
  <si>
    <t>일반기부금</t>
  </si>
  <si>
    <t>지정기부금</t>
  </si>
  <si>
    <t>예금이자</t>
  </si>
  <si>
    <t>유동자금</t>
  </si>
  <si>
    <t>기타유동
부채</t>
  </si>
  <si>
    <t>고정자산
매각수입</t>
  </si>
  <si>
    <t>산학협력단및
학교기업전입</t>
  </si>
  <si>
    <t>산학협력단
전입금</t>
  </si>
  <si>
    <t>임의기타
기금인출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</si>
  <si>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거</t>
    </r>
  </si>
  <si>
    <t xml:space="preserve"> </t>
  </si>
  <si>
    <t xml:space="preserve"> </t>
  </si>
  <si>
    <t>(대전캠퍼스)</t>
  </si>
  <si>
    <t xml:space="preserve"> 계약직원 퇴직금</t>
  </si>
  <si>
    <t>직원성과급</t>
  </si>
  <si>
    <t>소계</t>
  </si>
  <si>
    <t>건강보험료</t>
  </si>
  <si>
    <t>합     계</t>
  </si>
  <si>
    <t xml:space="preserve"> </t>
  </si>
  <si>
    <t>(성남캠퍼스)</t>
  </si>
  <si>
    <t xml:space="preserve"> 계절학기 강의료 </t>
  </si>
  <si>
    <t xml:space="preserve"> 국가시험관련 특강</t>
  </si>
  <si>
    <t xml:space="preserve"> 취업아카데미 및 취업설명회 특강</t>
  </si>
  <si>
    <t xml:space="preserve"> 아동발달센터 상담치료사과정등</t>
  </si>
  <si>
    <t>합      계</t>
  </si>
  <si>
    <t>(성남캠퍼스)</t>
  </si>
  <si>
    <t xml:space="preserve"> </t>
  </si>
  <si>
    <t xml:space="preserve">  MicroSoft CA  계약</t>
  </si>
  <si>
    <t xml:space="preserve">  바이로봇 Virus 프로그램 사용계약</t>
  </si>
  <si>
    <t xml:space="preserve">  실습 및 행정용 컴퓨터,프린터,복사기 수리비</t>
  </si>
  <si>
    <t xml:space="preserve">  출입문보안시스템 용역2,500,000원 X 12월</t>
  </si>
  <si>
    <t xml:space="preserve">  난방기, 에어컨 수리비</t>
  </si>
  <si>
    <t xml:space="preserve">  을지인력개발원 장비 보수유지비</t>
  </si>
  <si>
    <t>합      계</t>
  </si>
  <si>
    <t>소         계</t>
  </si>
  <si>
    <t>소      계</t>
  </si>
  <si>
    <t>소       계</t>
  </si>
  <si>
    <t>합       계</t>
  </si>
  <si>
    <t xml:space="preserve">  화장실 비치용 점보롤티슈 1,500,000X12월 </t>
  </si>
  <si>
    <t xml:space="preserve">  쓰레기매립용 종량제봉투 1,000장 *4,000원 *10회</t>
  </si>
  <si>
    <t xml:space="preserve">  정수기 렌탈사용료     130,000X12월 </t>
  </si>
  <si>
    <t xml:space="preserve">  어항관리비                 100,000X12월 </t>
  </si>
  <si>
    <t xml:space="preserve">  물탱크 청소비 (연2회)</t>
  </si>
  <si>
    <t xml:space="preserve">  전기 및 소방 점검</t>
  </si>
  <si>
    <t xml:space="preserve">  전기시설 구형 유도등 교체비</t>
  </si>
  <si>
    <t xml:space="preserve">  정수기 유지보수비</t>
  </si>
  <si>
    <t xml:space="preserve">  소방시설 점검위탁대행</t>
  </si>
  <si>
    <t xml:space="preserve">  소독용역비</t>
  </si>
  <si>
    <t xml:space="preserve">  폐기자재처리</t>
  </si>
  <si>
    <t xml:space="preserve"> 소      계</t>
  </si>
  <si>
    <t xml:space="preserve">  소     계</t>
  </si>
  <si>
    <t>소    계</t>
  </si>
  <si>
    <t xml:space="preserve">  청소용트럭연료          280,000X12월</t>
  </si>
  <si>
    <t xml:space="preserve">  행정사무용소모품비</t>
  </si>
  <si>
    <t>합         계</t>
  </si>
  <si>
    <t xml:space="preserve">    </t>
  </si>
  <si>
    <t xml:space="preserve">  업무용 서식인쇄비</t>
  </si>
  <si>
    <t xml:space="preserve">  교학지원팀 업무용제본</t>
  </si>
  <si>
    <t>소        계</t>
  </si>
  <si>
    <t>소        계</t>
  </si>
  <si>
    <t xml:space="preserve"> 도시가스 사용료</t>
  </si>
  <si>
    <t xml:space="preserve">  전기사용료</t>
  </si>
  <si>
    <t>12개월</t>
  </si>
  <si>
    <t>X</t>
  </si>
  <si>
    <t xml:space="preserve">  상하수도사용료</t>
  </si>
  <si>
    <t xml:space="preserve">  각종 협의회 연회비</t>
  </si>
  <si>
    <t xml:space="preserve">  자동차 ,시설물 환경개선부담금</t>
  </si>
  <si>
    <t xml:space="preserve">  장애인고용부담금</t>
  </si>
  <si>
    <t xml:space="preserve"> 경조사비</t>
  </si>
  <si>
    <t xml:space="preserve"> 교직원 독감예방 접종비                       </t>
  </si>
  <si>
    <t xml:space="preserve">  교수초빙광고료</t>
  </si>
  <si>
    <t xml:space="preserve"> 대외협력팀 발전기금 홍보</t>
  </si>
  <si>
    <t xml:space="preserve"> 취업지원센터 홍보물 제작</t>
  </si>
  <si>
    <t xml:space="preserve">  취업정보팀 취업지원센터 회의</t>
  </si>
  <si>
    <t xml:space="preserve">  학위수여/입학식</t>
  </si>
  <si>
    <t xml:space="preserve">  보직임명장 수여식</t>
  </si>
  <si>
    <t>(성남캠퍼스)</t>
  </si>
  <si>
    <t xml:space="preserve"> </t>
  </si>
  <si>
    <t xml:space="preserve">  학생 신체검사비  </t>
  </si>
  <si>
    <t xml:space="preserve">  학생행사 지원금</t>
  </si>
  <si>
    <t xml:space="preserve">  동아리지원금</t>
  </si>
  <si>
    <t xml:space="preserve">  상시진로지도시스템운영</t>
  </si>
  <si>
    <t xml:space="preserve">  학보사 학보발행 및 학생기자교육 </t>
  </si>
  <si>
    <t xml:space="preserve">  신입생 O T 지원비</t>
  </si>
  <si>
    <t xml:space="preserve">  학생 국제교류지원</t>
  </si>
  <si>
    <t>고용 산재 법정부담금</t>
  </si>
  <si>
    <t>소      계</t>
  </si>
  <si>
    <t xml:space="preserve">  사학연금부담금</t>
  </si>
  <si>
    <t>등 록 금 심 의 위 원 회  회 의 록</t>
  </si>
  <si>
    <t xml:space="preserve">을지대학교 </t>
  </si>
  <si>
    <t>수     입     의     부</t>
  </si>
  <si>
    <t>지     출     의     부</t>
  </si>
  <si>
    <t xml:space="preserve">      구    분</t>
  </si>
  <si>
    <t>증   감(A-B)</t>
  </si>
  <si>
    <t xml:space="preserve">       구    분</t>
  </si>
  <si>
    <t xml:space="preserve">      항    별</t>
  </si>
  <si>
    <t xml:space="preserve">       항    별</t>
  </si>
  <si>
    <t>등 록 금 수입</t>
  </si>
  <si>
    <t>보수</t>
  </si>
  <si>
    <t xml:space="preserve">관 리 운 영 비  </t>
  </si>
  <si>
    <t>교육부대수입</t>
  </si>
  <si>
    <t>연구 학생 경비</t>
  </si>
  <si>
    <t>교육외수입</t>
  </si>
  <si>
    <t>교 육 외 비 용</t>
  </si>
  <si>
    <t>예    비    비</t>
  </si>
  <si>
    <t>투자와기타자산지출</t>
  </si>
  <si>
    <t>유동부채입금</t>
  </si>
  <si>
    <t>고정자산매입지출</t>
  </si>
  <si>
    <t>고정부채입금</t>
  </si>
  <si>
    <t xml:space="preserve">유동 부채 상환 </t>
  </si>
  <si>
    <t>고정 부채 상환</t>
  </si>
  <si>
    <t>자금수입총계</t>
  </si>
  <si>
    <t>자금지출총계</t>
  </si>
  <si>
    <t xml:space="preserve">◎ 을지대학교 </t>
  </si>
  <si>
    <t xml:space="preserve">  1. 수입의부</t>
  </si>
  <si>
    <t>(단위:천원)</t>
  </si>
  <si>
    <t>과  목</t>
  </si>
  <si>
    <t>증 감 
(A -B)</t>
  </si>
  <si>
    <t>관</t>
  </si>
  <si>
    <t>항</t>
  </si>
  <si>
    <t>목</t>
  </si>
  <si>
    <t>등록금회계</t>
  </si>
  <si>
    <t>내부거래제거</t>
  </si>
  <si>
    <t>소계(A)</t>
  </si>
  <si>
    <t>자금수입
총     계</t>
  </si>
  <si>
    <t>등록금
수입</t>
  </si>
  <si>
    <t>등록금수입</t>
  </si>
  <si>
    <t xml:space="preserve"> </t>
  </si>
  <si>
    <t>입학금</t>
  </si>
  <si>
    <t>수업료</t>
  </si>
  <si>
    <t>수강료수입</t>
  </si>
  <si>
    <t>단기수강료</t>
  </si>
  <si>
    <t>전입및기부
수입</t>
  </si>
  <si>
    <t>전입금수입</t>
  </si>
  <si>
    <t>경상비
전입금</t>
  </si>
  <si>
    <t>법정부담금
전입금</t>
  </si>
  <si>
    <t>부속병원
전입금</t>
  </si>
  <si>
    <t>등록금회계
전입금</t>
  </si>
  <si>
    <t>기부금수입</t>
  </si>
  <si>
    <t>일반기부금</t>
  </si>
  <si>
    <t>지정기부금</t>
  </si>
  <si>
    <t>국고보조금
수입</t>
  </si>
  <si>
    <t>교육과학기술부</t>
  </si>
  <si>
    <t>기타국고지원</t>
  </si>
  <si>
    <t>지방자치단체</t>
  </si>
  <si>
    <t>산학협력단및
학교기업전입</t>
  </si>
  <si>
    <t>산학협력단
전입금</t>
  </si>
  <si>
    <t>교육
부대수입</t>
  </si>
  <si>
    <t>입시수수료
수입</t>
  </si>
  <si>
    <t>입학원서대</t>
  </si>
  <si>
    <t>수험료</t>
  </si>
  <si>
    <t>증명,사용료수입</t>
  </si>
  <si>
    <t>증명료</t>
  </si>
  <si>
    <t>대여료및사용료</t>
  </si>
  <si>
    <t>기타교육
부대수입</t>
  </si>
  <si>
    <t>논문 심사 
수입</t>
  </si>
  <si>
    <t xml:space="preserve">5339
</t>
  </si>
  <si>
    <t>교육외
수입</t>
  </si>
  <si>
    <t>예금이자
수입</t>
  </si>
  <si>
    <t>예금이자</t>
  </si>
  <si>
    <t>기타교육
외수입</t>
  </si>
  <si>
    <t>잡수입</t>
  </si>
  <si>
    <t>투자와
기타자산수입</t>
  </si>
  <si>
    <t>투자자산
매입</t>
  </si>
  <si>
    <t>투자유가
증권매각대</t>
  </si>
  <si>
    <t>기타자산
수입</t>
  </si>
  <si>
    <t>임차보증금
회수</t>
  </si>
  <si>
    <t>임의기금
인출수입</t>
  </si>
  <si>
    <t>임의연구
기금인출</t>
  </si>
  <si>
    <t>임의건축
기금인출</t>
  </si>
  <si>
    <t>고정자산
매각수입</t>
  </si>
  <si>
    <t>유형고정
자산매각
수     입</t>
  </si>
  <si>
    <t>토지매각대</t>
  </si>
  <si>
    <t xml:space="preserve"> </t>
  </si>
  <si>
    <t>기계기구
매각대</t>
  </si>
  <si>
    <t>집기비품
매각대</t>
  </si>
  <si>
    <t>차량운반구
매각대</t>
  </si>
  <si>
    <t>고정부채
입금</t>
  </si>
  <si>
    <t>장기차입금</t>
  </si>
  <si>
    <t>장기차입금
차입</t>
  </si>
  <si>
    <t>기타고정 
부채</t>
  </si>
  <si>
    <t>임대보증금
수입</t>
  </si>
  <si>
    <t>미사용전기
이월자금</t>
  </si>
  <si>
    <t>전기이월
자금</t>
  </si>
  <si>
    <t>기초
유동자산</t>
  </si>
  <si>
    <t>유동자금</t>
  </si>
  <si>
    <t xml:space="preserve"> </t>
  </si>
  <si>
    <t>기타
유동자산</t>
  </si>
  <si>
    <t>기초
유동부채</t>
  </si>
  <si>
    <t>예수금</t>
  </si>
  <si>
    <t>선수금</t>
  </si>
  <si>
    <t>기타유동
부채</t>
  </si>
  <si>
    <t xml:space="preserve"> 2. 지출의부</t>
  </si>
  <si>
    <r>
      <t xml:space="preserve"> </t>
    </r>
    <r>
      <rPr>
        <sz val="11"/>
        <rFont val="돋움"/>
        <family val="3"/>
      </rPr>
      <t xml:space="preserve"> </t>
    </r>
  </si>
  <si>
    <t>과                목</t>
  </si>
  <si>
    <t>자금지출
총     계</t>
  </si>
  <si>
    <t>보  수</t>
  </si>
  <si>
    <t>교원보수</t>
  </si>
  <si>
    <t>교원급여</t>
  </si>
  <si>
    <t>교원상여금</t>
  </si>
  <si>
    <t>교원제수당</t>
  </si>
  <si>
    <t>교원법정
부담금</t>
  </si>
  <si>
    <t>시간강의료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</si>
  <si>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</si>
  <si>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</si>
  <si>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</si>
  <si>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</si>
  <si>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</si>
  <si>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</si>
  <si>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</si>
  <si>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
부담금</t>
  </si>
  <si>
    <t>임시직
인건비</t>
  </si>
  <si>
    <t>임시직
인건비</t>
  </si>
  <si>
    <t>노임</t>
  </si>
  <si>
    <t>직원퇴직금</t>
  </si>
  <si>
    <t>관리운영비</t>
  </si>
  <si>
    <t>시설관리비</t>
  </si>
  <si>
    <t>건축물
관리비</t>
  </si>
  <si>
    <t>장비
관리비</t>
  </si>
  <si>
    <t>조경관리비</t>
  </si>
  <si>
    <t>박물관
관리비</t>
  </si>
  <si>
    <t>시설용역비</t>
  </si>
  <si>
    <t>보험료</t>
  </si>
  <si>
    <t>리스,임차료</t>
  </si>
  <si>
    <t>기타시설
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</si>
  <si>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</si>
  <si>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</si>
  <si>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</si>
  <si>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</si>
  <si>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</si>
  <si>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</si>
  <si>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</si>
  <si>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</si>
  <si>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</si>
  <si>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</si>
  <si>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</si>
  <si>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</si>
  <si>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</si>
  <si>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</si>
  <si>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</si>
  <si>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</si>
  <si>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</si>
  <si>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</si>
  <si>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</si>
  <si>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기타운영비</t>
  </si>
  <si>
    <t>연구,학생
경비</t>
  </si>
  <si>
    <t>연구비</t>
  </si>
  <si>
    <t>연구관리비</t>
  </si>
  <si>
    <t>학생경비</t>
  </si>
  <si>
    <t>교외장학금</t>
  </si>
  <si>
    <t>교내장학금</t>
  </si>
  <si>
    <t>실험실습비</t>
  </si>
  <si>
    <t>논문심사료</t>
  </si>
  <si>
    <t>학생지원비</t>
  </si>
  <si>
    <t>기타
학생경비</t>
  </si>
  <si>
    <t>입시관리비</t>
  </si>
  <si>
    <t>입시수당</t>
  </si>
  <si>
    <t>입시경비</t>
  </si>
  <si>
    <t>교육외비용</t>
  </si>
  <si>
    <t>지급이자</t>
  </si>
  <si>
    <t>기타교육외비용</t>
  </si>
  <si>
    <t>잡손실</t>
  </si>
  <si>
    <t>전출금</t>
  </si>
  <si>
    <t>교내전출금</t>
  </si>
  <si>
    <t>등록금회계
전출금</t>
  </si>
  <si>
    <t>예비비</t>
  </si>
  <si>
    <t>투자와기타
자산지출</t>
  </si>
  <si>
    <t>투자자산
지출</t>
  </si>
  <si>
    <t>투자유가
증권매입대</t>
  </si>
  <si>
    <t>기타자산
지출</t>
  </si>
  <si>
    <t>임차보증금
지출</t>
  </si>
  <si>
    <t>임차보증금
지출</t>
  </si>
  <si>
    <t>임의
기금적립</t>
  </si>
  <si>
    <t>임의연구
기금적립</t>
  </si>
  <si>
    <t>임의건축
기금적립</t>
  </si>
  <si>
    <r>
      <t>임의장학</t>
    </r>
    <r>
      <rPr>
        <sz val="11"/>
        <rFont val="돋움"/>
        <family val="3"/>
      </rPr>
      <t xml:space="preserve">
기금적립</t>
    </r>
  </si>
  <si>
    <t>고정자산
매입지출</t>
  </si>
  <si>
    <t>유형고정
자산매입
지출</t>
  </si>
  <si>
    <t>토지
매입비</t>
  </si>
  <si>
    <t>건물
매입비</t>
  </si>
  <si>
    <t>구축물
매입비</t>
  </si>
  <si>
    <t>기계기구
매입비</t>
  </si>
  <si>
    <t>집기비품
매입비</t>
  </si>
  <si>
    <t>차량운반구
매입비</t>
  </si>
  <si>
    <t>도서구입비</t>
  </si>
  <si>
    <t>박물관
유물구입비</t>
  </si>
  <si>
    <t>건설가계정</t>
  </si>
  <si>
    <t>무형
고정자산</t>
  </si>
  <si>
    <t>무형고정
자산취득비</t>
  </si>
  <si>
    <t>고정부채
상환</t>
  </si>
  <si>
    <t>장기차입금상환</t>
  </si>
  <si>
    <t>기타고정
부채상환</t>
  </si>
  <si>
    <t>임대보증금환급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</si>
  <si>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</si>
  <si>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</si>
  <si>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</si>
  <si>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</si>
  <si>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기말
유동부채</t>
  </si>
  <si>
    <t>기타
유동부채</t>
  </si>
  <si>
    <t>임시직인건비</t>
  </si>
  <si>
    <t xml:space="preserve">   UPS(무정전전원장치)유지보수비</t>
  </si>
  <si>
    <t xml:space="preserve">  학술정보팀  도서관리 프로그램 유지보수 </t>
  </si>
  <si>
    <t xml:space="preserve">  승강기유지보수비 (13대)</t>
  </si>
  <si>
    <t xml:space="preserve">  알툴즈 통합보안팩 사용계약</t>
  </si>
  <si>
    <t xml:space="preserve">  교수학습지원센터 소그룸세미나 자료집</t>
  </si>
  <si>
    <t xml:space="preserve">  취업정보팀 진로지도시스템 자료 및 모바일가이드</t>
  </si>
  <si>
    <t xml:space="preserve"> 교수학습지원센터 워크샵참가지원</t>
  </si>
  <si>
    <t>합         계</t>
  </si>
  <si>
    <t xml:space="preserve"> 교원양성위원회 경비</t>
  </si>
  <si>
    <t xml:space="preserve"> 취업지원처 국가고시 및 취업우수학과 포상 경비</t>
  </si>
  <si>
    <t xml:space="preserve"> 교수학습지원센터 강의분석 및 세미나 진행경비</t>
  </si>
  <si>
    <t xml:space="preserve"> 보직자 연수 경비</t>
  </si>
  <si>
    <t xml:space="preserve"> 생활관 제경비</t>
  </si>
  <si>
    <t xml:space="preserve">  취업동아리 활동 지원</t>
  </si>
  <si>
    <t xml:space="preserve">  을지문학상 경비</t>
  </si>
  <si>
    <t xml:space="preserve">  특별학생지도비</t>
  </si>
  <si>
    <t xml:space="preserve">  심폐소생술 진행 경비</t>
  </si>
  <si>
    <t xml:space="preserve"> 학생증진센터 기구 구입</t>
  </si>
  <si>
    <t xml:space="preserve">  전자저널 </t>
  </si>
  <si>
    <t xml:space="preserve"> </t>
  </si>
  <si>
    <t xml:space="preserve">  스포츠아웃도어학과</t>
  </si>
  <si>
    <t xml:space="preserve">  의료홍보디자인학과</t>
  </si>
  <si>
    <t xml:space="preserve">  식품영양학과</t>
  </si>
  <si>
    <t xml:space="preserve">  식품산업외식학과</t>
  </si>
  <si>
    <t xml:space="preserve">  보건환경안전학과</t>
  </si>
  <si>
    <t xml:space="preserve">  시간강사료</t>
  </si>
  <si>
    <t>(대전캠퍼스)</t>
  </si>
  <si>
    <t xml:space="preserve"> </t>
  </si>
  <si>
    <t>소         계</t>
  </si>
  <si>
    <t>소          계</t>
  </si>
  <si>
    <t>소      계</t>
  </si>
  <si>
    <t>소        계</t>
  </si>
  <si>
    <t xml:space="preserve">  연말 홍보물 및 을지가족 홍보제작</t>
  </si>
  <si>
    <t xml:space="preserve">  수시, 정시 교직원 면접수당등</t>
  </si>
  <si>
    <t>합         계</t>
  </si>
  <si>
    <t xml:space="preserve">  사무용비품(소프트웨어포함)</t>
  </si>
  <si>
    <t xml:space="preserve"> 국내서</t>
  </si>
  <si>
    <t>국외서</t>
  </si>
  <si>
    <t>정원</t>
  </si>
  <si>
    <t>등록인원</t>
  </si>
  <si>
    <t>합계</t>
  </si>
  <si>
    <t xml:space="preserve"> 학과용 실습기자재 구입</t>
  </si>
  <si>
    <t>비등록금회계</t>
  </si>
  <si>
    <t>보건
대학원</t>
  </si>
  <si>
    <t>2014학년도 학교비 본예산 (안)</t>
  </si>
  <si>
    <t>(2014.03.01-2015.02.28)</t>
  </si>
  <si>
    <r>
      <t>을지대학교</t>
    </r>
    <r>
      <rPr>
        <sz val="11"/>
        <rFont val="Arial"/>
        <family val="2"/>
      </rPr>
      <t xml:space="preserve"> (</t>
    </r>
    <r>
      <rPr>
        <sz val="11"/>
        <rFont val="돋움"/>
        <family val="3"/>
      </rPr>
      <t>수입의부)</t>
    </r>
  </si>
  <si>
    <r>
      <t>(</t>
    </r>
    <r>
      <rPr>
        <sz val="11"/>
        <rFont val="돋움"/>
        <family val="3"/>
      </rPr>
      <t>단위 : 원)</t>
    </r>
  </si>
  <si>
    <t>과                목</t>
  </si>
  <si>
    <t>13학년도 추경예산</t>
  </si>
  <si>
    <r>
      <t>2</t>
    </r>
    <r>
      <rPr>
        <sz val="11"/>
        <rFont val="돋움"/>
        <family val="3"/>
      </rPr>
      <t>014학년도 본예산(안)</t>
    </r>
  </si>
  <si>
    <t>증 감</t>
  </si>
  <si>
    <t>비  고</t>
  </si>
  <si>
    <t>관</t>
  </si>
  <si>
    <t>항</t>
  </si>
  <si>
    <t>목</t>
  </si>
  <si>
    <t>(  B  )</t>
  </si>
  <si>
    <t>등록금회계</t>
  </si>
  <si>
    <t>비등록금회계</t>
  </si>
  <si>
    <t>내부거래</t>
  </si>
  <si>
    <r>
      <t>합 계</t>
    </r>
    <r>
      <rPr>
        <sz val="11"/>
        <rFont val="돋움"/>
        <family val="3"/>
      </rPr>
      <t xml:space="preserve"> (A)</t>
    </r>
  </si>
  <si>
    <t>(  A  -  B  )</t>
  </si>
  <si>
    <t>수입</t>
  </si>
  <si>
    <t xml:space="preserve"> </t>
  </si>
  <si>
    <t>등록금수입</t>
  </si>
  <si>
    <t>입학금</t>
  </si>
  <si>
    <t>(학부)</t>
  </si>
  <si>
    <t>(대학원)</t>
  </si>
  <si>
    <t>수업료</t>
  </si>
  <si>
    <t>수강료수입</t>
  </si>
  <si>
    <t>단기수강료</t>
  </si>
  <si>
    <t>전입및</t>
  </si>
  <si>
    <t>기부수입</t>
  </si>
  <si>
    <t>전입금수입</t>
  </si>
  <si>
    <t>경상비전입금</t>
  </si>
  <si>
    <t>법정부담금전입금</t>
  </si>
  <si>
    <t>부속병원전입금</t>
  </si>
  <si>
    <t>교내전입금</t>
  </si>
  <si>
    <t>등록금회계전입금</t>
  </si>
  <si>
    <t>기부금수입</t>
  </si>
  <si>
    <t>일반기부금</t>
  </si>
  <si>
    <t>지정기부금</t>
  </si>
  <si>
    <t>연구기부금</t>
  </si>
  <si>
    <t>국고보조금수입</t>
  </si>
  <si>
    <t>교육과학기술부</t>
  </si>
  <si>
    <t>기타국고지원</t>
  </si>
  <si>
    <t>지방자치단체</t>
  </si>
  <si>
    <t>산학단및학교기업전입금</t>
  </si>
  <si>
    <t>산학협력단전입금</t>
  </si>
  <si>
    <t>교육부대수입</t>
  </si>
  <si>
    <t>입시수수료수입</t>
  </si>
  <si>
    <t>입학원서대</t>
  </si>
  <si>
    <t>수험료</t>
  </si>
  <si>
    <t>증명,사용료수입</t>
  </si>
  <si>
    <t>증명료</t>
  </si>
  <si>
    <t>대여료및사용료</t>
  </si>
  <si>
    <t>기타교육
부대수입</t>
  </si>
  <si>
    <t>논문 심사 수입</t>
  </si>
  <si>
    <t>기타교육부대수입</t>
  </si>
  <si>
    <t>교육외수입</t>
  </si>
  <si>
    <t>예금이자수입</t>
  </si>
  <si>
    <t>예금이자</t>
  </si>
  <si>
    <t>기타교육외수입</t>
  </si>
  <si>
    <t>잡수입</t>
  </si>
  <si>
    <t>투자와기타자산수입</t>
  </si>
  <si>
    <t>투자자산수입</t>
  </si>
  <si>
    <t>투자유가증권
매각대</t>
  </si>
  <si>
    <t>기타자산수입</t>
  </si>
  <si>
    <t>임차보증금회수</t>
  </si>
  <si>
    <t>임의기금인출
수입</t>
  </si>
  <si>
    <t>임의연구기금인출</t>
  </si>
  <si>
    <t>임의건축기금인출</t>
  </si>
  <si>
    <t>임의장학기금인출</t>
  </si>
  <si>
    <t>임의기타기금인출</t>
  </si>
  <si>
    <t>고정자산매각
수입</t>
  </si>
  <si>
    <t>유형고정자산
매각수입</t>
  </si>
  <si>
    <t>토지매각대</t>
  </si>
  <si>
    <t>기계기구매각대</t>
  </si>
  <si>
    <t>집기비품매각대</t>
  </si>
  <si>
    <t>차량운반구매각대</t>
  </si>
  <si>
    <t>고정부채입금</t>
  </si>
  <si>
    <t>장기차입금</t>
  </si>
  <si>
    <t>장기차입금차입</t>
  </si>
  <si>
    <t>기타고정부채</t>
  </si>
  <si>
    <t>임대보증금수입</t>
  </si>
  <si>
    <t>전기이월자금</t>
  </si>
  <si>
    <t>전기이월</t>
  </si>
  <si>
    <t>기초유동자산</t>
  </si>
  <si>
    <t>유동자금</t>
  </si>
  <si>
    <t>기타유동자산</t>
  </si>
  <si>
    <t>기초유동부채</t>
  </si>
  <si>
    <t>예수금</t>
  </si>
  <si>
    <t>선수금</t>
  </si>
  <si>
    <t>기타유동부채</t>
  </si>
  <si>
    <t>비등록금
회계
전출금</t>
  </si>
  <si>
    <t xml:space="preserve">2014학년도 학교비 본예산 (안) </t>
  </si>
  <si>
    <r>
      <t>을지대학교</t>
    </r>
    <r>
      <rPr>
        <sz val="11"/>
        <rFont val="Arial"/>
        <family val="2"/>
      </rPr>
      <t>(</t>
    </r>
    <r>
      <rPr>
        <sz val="11"/>
        <rFont val="돋움"/>
        <family val="3"/>
      </rPr>
      <t>지출의부)</t>
    </r>
  </si>
  <si>
    <r>
      <t>(</t>
    </r>
    <r>
      <rPr>
        <sz val="11"/>
        <rFont val="돋움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원</t>
    </r>
    <r>
      <rPr>
        <sz val="11"/>
        <rFont val="Arial"/>
        <family val="2"/>
      </rPr>
      <t>)</t>
    </r>
  </si>
  <si>
    <t>비 고</t>
  </si>
  <si>
    <t>비용지출</t>
  </si>
  <si>
    <t>보  수</t>
  </si>
  <si>
    <t>교원보수</t>
  </si>
  <si>
    <t>교원급여</t>
  </si>
  <si>
    <t>교원상여금</t>
  </si>
  <si>
    <t>교원제수당</t>
  </si>
  <si>
    <t>교원법정부담금</t>
  </si>
  <si>
    <t>시간강사료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</si>
  <si>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</si>
  <si>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</si>
  <si>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</si>
  <si>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</si>
  <si>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</si>
  <si>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</si>
  <si>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</si>
  <si>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직원법정부담금</t>
  </si>
  <si>
    <t>임시직인건비</t>
  </si>
  <si>
    <t>노임</t>
  </si>
  <si>
    <t>직원퇴직금</t>
  </si>
  <si>
    <t>관리운영비</t>
  </si>
  <si>
    <t>시설관리비</t>
  </si>
  <si>
    <t>건축물관리비</t>
  </si>
  <si>
    <t>장비관리비</t>
  </si>
  <si>
    <t>조경관리비</t>
  </si>
  <si>
    <t>박물관관리비</t>
  </si>
  <si>
    <t>시설용역비</t>
  </si>
  <si>
    <t>보험료</t>
  </si>
  <si>
    <t>리스,임차료</t>
  </si>
  <si>
    <t>기타시설관리비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</si>
  <si>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</si>
  <si>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</si>
  <si>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</si>
  <si>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</si>
  <si>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</si>
  <si>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</si>
  <si>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</si>
  <si>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</si>
  <si>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</si>
  <si>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</si>
  <si>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</si>
  <si>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</si>
  <si>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</si>
  <si>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</si>
  <si>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</si>
  <si>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</si>
  <si>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</si>
  <si>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</si>
  <si>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</si>
  <si>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기타운영비</t>
  </si>
  <si>
    <t>연구학생
경비</t>
  </si>
  <si>
    <t>연구비</t>
  </si>
  <si>
    <t>연구관리비</t>
  </si>
  <si>
    <t>학생경비</t>
  </si>
  <si>
    <t>교외장학금</t>
  </si>
  <si>
    <t>교내장학금</t>
  </si>
  <si>
    <t>실험실습비</t>
  </si>
  <si>
    <t>논문심사료</t>
  </si>
  <si>
    <t>학생지원비</t>
  </si>
  <si>
    <t>기타학생경비</t>
  </si>
  <si>
    <t>입시관리비</t>
  </si>
  <si>
    <t>입시수당</t>
  </si>
  <si>
    <t>입시경비</t>
  </si>
  <si>
    <t>교육외비용</t>
  </si>
  <si>
    <t>지급이자</t>
  </si>
  <si>
    <t>기타교육
외비용</t>
  </si>
  <si>
    <t>잡손실</t>
  </si>
  <si>
    <t>전출금</t>
  </si>
  <si>
    <t>교내전출금</t>
  </si>
  <si>
    <t>비등록금회계전출금</t>
  </si>
  <si>
    <t>등록금회계전출금</t>
  </si>
  <si>
    <t>기금회계전출금</t>
  </si>
  <si>
    <t>예비비</t>
  </si>
  <si>
    <t>투자와기타
자산지출</t>
  </si>
  <si>
    <t>투자자산지출</t>
  </si>
  <si>
    <t>투자유가증권매입대</t>
  </si>
  <si>
    <t>기타자산지출</t>
  </si>
  <si>
    <t>임차보증금지출</t>
  </si>
  <si>
    <t>임의기금적립</t>
  </si>
  <si>
    <t>임의연구기금적립</t>
  </si>
  <si>
    <t>임의건축기금적립</t>
  </si>
  <si>
    <t>임의장학기금적립</t>
  </si>
  <si>
    <t>임의기타기금적립</t>
  </si>
  <si>
    <t>고정자산매입지출</t>
  </si>
  <si>
    <t>유형고정자산
매입지출</t>
  </si>
  <si>
    <t>토지매입비</t>
  </si>
  <si>
    <t>건물매입비</t>
  </si>
  <si>
    <t>구축물매입비</t>
  </si>
  <si>
    <t>기계기구매입비</t>
  </si>
  <si>
    <t>집기비품매입비</t>
  </si>
  <si>
    <t>차량운반구</t>
  </si>
  <si>
    <t>도서구입비</t>
  </si>
  <si>
    <t>박물관유물구입비</t>
  </si>
  <si>
    <t>건설가계정</t>
  </si>
  <si>
    <t>무형고정자산
매입지출</t>
  </si>
  <si>
    <t>무형고정자산취득비</t>
  </si>
  <si>
    <t>고정부채상환</t>
  </si>
  <si>
    <t>장기차입금상환</t>
  </si>
  <si>
    <t>기타고정부채상환</t>
  </si>
  <si>
    <t>임대보증금환급</t>
  </si>
  <si>
    <t>차기이월자금</t>
  </si>
  <si>
    <t>기말유동자산</t>
  </si>
  <si>
    <t>유동자금</t>
  </si>
  <si>
    <t>기타유동자산</t>
  </si>
  <si>
    <t>기말유동부채</t>
  </si>
  <si>
    <t>예수금</t>
  </si>
  <si>
    <t>선수금</t>
  </si>
  <si>
    <t>기타유동부채</t>
  </si>
  <si>
    <t>등록금회계
전입금</t>
  </si>
  <si>
    <t>임의장학
기금인출</t>
  </si>
  <si>
    <t>임의장학
기금적립</t>
  </si>
  <si>
    <t>임의장학
기금인출</t>
  </si>
  <si>
    <t>비등록금회계
전출금</t>
  </si>
  <si>
    <t>학 교 비 회 계   자 금 예 산  총 칙</t>
  </si>
  <si>
    <t>. 예산편성 기본방침</t>
  </si>
  <si>
    <t>가. 세입재원 범위내의 건전한 세출예산 편성.</t>
  </si>
  <si>
    <t>나. 면학분위기 조성 및 교원의 연구활동 지원 강화.</t>
  </si>
  <si>
    <t>다. 의정부캠퍼스 교사건축.</t>
  </si>
  <si>
    <t>. 주요사업계획 개요</t>
  </si>
  <si>
    <t>(수    입)</t>
  </si>
  <si>
    <t>(지     출)</t>
  </si>
  <si>
    <t>평생교육원(특별강의) (비 등록금회계)</t>
  </si>
  <si>
    <t>(대전캠퍼스)</t>
  </si>
  <si>
    <t xml:space="preserve"> 계약직원 퇴직금</t>
  </si>
  <si>
    <t xml:space="preserve"> </t>
  </si>
  <si>
    <t xml:space="preserve">  계</t>
  </si>
  <si>
    <t xml:space="preserve">  미화원용역비</t>
  </si>
  <si>
    <t>12개월</t>
  </si>
  <si>
    <t>X</t>
  </si>
  <si>
    <t>수위(안내)용역비</t>
  </si>
  <si>
    <t>12개월</t>
  </si>
  <si>
    <t>기타시설용역비</t>
  </si>
  <si>
    <t>기타유지보수료</t>
  </si>
  <si>
    <t xml:space="preserve"> 정수기 렌탈료 등</t>
  </si>
  <si>
    <t xml:space="preserve">  생활관 정수기 렌탈료 등( 비등록금회계)</t>
  </si>
  <si>
    <t xml:space="preserve">  교직원일반출장여비</t>
  </si>
  <si>
    <t>각종 워크샵참가</t>
  </si>
  <si>
    <t>각종 회의 및 학회참가</t>
  </si>
  <si>
    <t xml:space="preserve">  사무용소모품비</t>
  </si>
  <si>
    <t>현수막</t>
  </si>
  <si>
    <t xml:space="preserve"> 기타</t>
  </si>
  <si>
    <t>생활관카드키복사외 (비등록금 회계)</t>
  </si>
  <si>
    <t xml:space="preserve"> 교과과정 책자등 인쇄비</t>
  </si>
  <si>
    <t>소  계</t>
  </si>
  <si>
    <t xml:space="preserve">  도시가스요금</t>
  </si>
  <si>
    <t>난방용 유류요금</t>
  </si>
  <si>
    <t xml:space="preserve"> 부속시설 난방비(비등록금 회계)</t>
  </si>
  <si>
    <t xml:space="preserve">  전기요금</t>
  </si>
  <si>
    <t>X</t>
  </si>
  <si>
    <t>상수도요금</t>
  </si>
  <si>
    <t>생활관 전기료등(비등록금회계)</t>
  </si>
  <si>
    <t>생활관상수도 등(비등록금회계)</t>
  </si>
  <si>
    <t xml:space="preserve">  전화요금</t>
  </si>
  <si>
    <t>교육전산망</t>
  </si>
  <si>
    <t xml:space="preserve"> 기타 통신비(비등록금 회계)</t>
  </si>
  <si>
    <t>장애인고용부담금, 종부세,(의정부 포함)</t>
  </si>
  <si>
    <t>생활관 등(비등록금회계)</t>
  </si>
  <si>
    <t>의료폐기물 처리비</t>
  </si>
  <si>
    <t>기타지급수수료</t>
  </si>
  <si>
    <t xml:space="preserve"> 기타 (비등록금 회계)</t>
  </si>
  <si>
    <t xml:space="preserve">  계</t>
  </si>
  <si>
    <t>의학교육평가 컨소시험 분담금</t>
  </si>
  <si>
    <t>교직원직무교육비 등</t>
  </si>
  <si>
    <t xml:space="preserve"> 대외업무추진비</t>
  </si>
  <si>
    <t xml:space="preserve">    계 </t>
  </si>
  <si>
    <t xml:space="preserve">(대전캠퍼스) </t>
  </si>
  <si>
    <t xml:space="preserve"> 현수막</t>
  </si>
  <si>
    <t xml:space="preserve">  학위수여/입학식</t>
  </si>
  <si>
    <t>기타 나이팅게일 선서식 등</t>
  </si>
  <si>
    <t xml:space="preserve"> 계</t>
  </si>
  <si>
    <t xml:space="preserve">  학과운영비</t>
  </si>
  <si>
    <t xml:space="preserve">  소 계</t>
  </si>
  <si>
    <t xml:space="preserve">  교내장학금(학부, 대학원)</t>
  </si>
  <si>
    <t>임상실습비 및 학점 은행제 현장실습</t>
  </si>
  <si>
    <t>각교실 소모품 및 기자재수선</t>
  </si>
  <si>
    <t>22개소</t>
  </si>
  <si>
    <t>대학원실습소모품 등</t>
  </si>
  <si>
    <t xml:space="preserve">  학생자치활동지원금</t>
  </si>
  <si>
    <t>국시경비 외</t>
  </si>
  <si>
    <t xml:space="preserve"> 자퇴자 수업료 반환 등</t>
  </si>
  <si>
    <t xml:space="preserve">(대전캠퍼스)               </t>
  </si>
  <si>
    <t xml:space="preserve">(대전캠퍼스)         </t>
  </si>
  <si>
    <t xml:space="preserve">(대전캠퍼스)                   </t>
  </si>
  <si>
    <t xml:space="preserve">(대전캠퍼스)                            </t>
  </si>
  <si>
    <t xml:space="preserve">(대전캠퍼스)              </t>
  </si>
  <si>
    <r>
      <t>(대전캠퍼스)</t>
    </r>
    <r>
      <rPr>
        <sz val="11"/>
        <rFont val="돋움"/>
        <family val="3"/>
      </rPr>
      <t xml:space="preserve"> -(비 등록금 회계)</t>
    </r>
  </si>
  <si>
    <r>
      <t>농촌희망재단,진암</t>
    </r>
    <r>
      <rPr>
        <sz val="11"/>
        <rFont val="돋움"/>
        <family val="3"/>
      </rPr>
      <t>,수당,미래동반자,재경동문,동문회,교회</t>
    </r>
  </si>
  <si>
    <t xml:space="preserve"> 범석장학금</t>
  </si>
  <si>
    <t xml:space="preserve">국가보훈 </t>
  </si>
  <si>
    <t>총동문회장학금</t>
  </si>
  <si>
    <t>기탁장학금</t>
  </si>
  <si>
    <t>국가장학금</t>
  </si>
  <si>
    <t>국가근로장학금</t>
  </si>
  <si>
    <t xml:space="preserve">  입시면접수당</t>
  </si>
  <si>
    <t>예비비</t>
  </si>
  <si>
    <t xml:space="preserve">(성남캠퍼스)                     </t>
  </si>
  <si>
    <t xml:space="preserve">(대전캠퍼스)                      </t>
  </si>
  <si>
    <t xml:space="preserve">  기타</t>
  </si>
  <si>
    <t xml:space="preserve">     소  계</t>
  </si>
  <si>
    <t>미술품 임차료 등</t>
  </si>
  <si>
    <t xml:space="preserve">  개교기념행사 등</t>
  </si>
  <si>
    <t xml:space="preserve"> (대전캠퍼스) 학과용 실습기자재 구입</t>
  </si>
  <si>
    <t xml:space="preserve">(성남캠퍼스)                              </t>
  </si>
  <si>
    <t xml:space="preserve">(성남캠퍼스)               </t>
  </si>
  <si>
    <t xml:space="preserve">(성남캠퍼스)                   </t>
  </si>
  <si>
    <t xml:space="preserve"> 평생교육원 등  강의료</t>
  </si>
  <si>
    <t>을지인력개발원 조경수 관리 외</t>
  </si>
  <si>
    <t xml:space="preserve">  을지인력개발원 외 시설유지관리비</t>
  </si>
  <si>
    <t xml:space="preserve">  유   류   대 등</t>
  </si>
  <si>
    <t xml:space="preserve">  을지인력개발원외
  통신비</t>
  </si>
  <si>
    <t>(별지 제1의3호 서식)</t>
  </si>
  <si>
    <t>학년별, 학과별 학생수명세서</t>
  </si>
  <si>
    <t>(성남캠퍼스)</t>
  </si>
  <si>
    <t>(단위:명)</t>
  </si>
  <si>
    <t>구분</t>
  </si>
  <si>
    <t>학년별</t>
  </si>
  <si>
    <t>계열별 정,현원</t>
  </si>
  <si>
    <t>인문,사회</t>
  </si>
  <si>
    <t>이학</t>
  </si>
  <si>
    <t>공학</t>
  </si>
  <si>
    <t>의.치학</t>
  </si>
  <si>
    <t>약학</t>
  </si>
  <si>
    <t>예.체능</t>
  </si>
  <si>
    <t>농학</t>
  </si>
  <si>
    <t>수.해양</t>
  </si>
  <si>
    <t>기타</t>
  </si>
  <si>
    <t>계</t>
  </si>
  <si>
    <t>예과</t>
  </si>
  <si>
    <t>본과</t>
  </si>
  <si>
    <t>대학</t>
  </si>
  <si>
    <t>1학년</t>
  </si>
  <si>
    <t>정원</t>
  </si>
  <si>
    <t>등록인원</t>
  </si>
  <si>
    <t>2학년</t>
  </si>
  <si>
    <t>3학년</t>
  </si>
  <si>
    <t>4학년</t>
  </si>
  <si>
    <t>소계</t>
  </si>
  <si>
    <t>대학원</t>
  </si>
  <si>
    <t>일반    대학원</t>
  </si>
  <si>
    <t>임상간호
 대학원</t>
  </si>
  <si>
    <t xml:space="preserve">(성남캠퍼스)                                  </t>
  </si>
  <si>
    <t xml:space="preserve"> 기타(장학금지원등)                          200,000,000</t>
  </si>
  <si>
    <t>현물기부금</t>
  </si>
  <si>
    <t>(성남캠퍼스)</t>
  </si>
  <si>
    <t>(대전캠퍼스)</t>
  </si>
  <si>
    <t>평생교육원,생활관(교육장비수리비) (비등록금 회계)</t>
  </si>
  <si>
    <t>생활관 학생보험 등(비등록금 회계)</t>
  </si>
  <si>
    <t>생활관 등 운영경비</t>
  </si>
  <si>
    <t xml:space="preserve"> 평생교육원 등 실습비(비등록금회계)</t>
  </si>
  <si>
    <t xml:space="preserve">기타 </t>
  </si>
  <si>
    <t xml:space="preserve"> (대전캠퍼스)이자발생액 및 추가적립금</t>
  </si>
  <si>
    <t>현물기부금</t>
  </si>
  <si>
    <t>대학원특별강의 등</t>
  </si>
  <si>
    <t>엘레베이터보수(623,500*12)</t>
  </si>
  <si>
    <t>UPS보수(440,000*12)</t>
  </si>
  <si>
    <t xml:space="preserve">  기자재수리비 등</t>
  </si>
  <si>
    <t xml:space="preserve">  학위논문심사료</t>
  </si>
  <si>
    <t>(대전캠퍼스)</t>
  </si>
  <si>
    <t>국가장학금  외                                     1,500,000,000</t>
  </si>
  <si>
    <t>(성남캠퍼스)</t>
  </si>
  <si>
    <t xml:space="preserve">(성남캠퍼스)                                    </t>
  </si>
  <si>
    <t xml:space="preserve">(성남캠퍼스)                              </t>
  </si>
  <si>
    <t>(대전캠퍼스)</t>
  </si>
  <si>
    <t>(성남캠퍼스)</t>
  </si>
  <si>
    <t>(성남캠퍼스)</t>
  </si>
  <si>
    <t xml:space="preserve">(성남캠퍼스) </t>
  </si>
  <si>
    <t>(대전캠퍼스)</t>
  </si>
  <si>
    <t>(성남캠퍼스) 모의토익 감독료 외</t>
  </si>
  <si>
    <t xml:space="preserve">  인애학사 장비 수리</t>
  </si>
  <si>
    <t xml:space="preserve">  생활관 영업배상책임보험 갱신</t>
  </si>
  <si>
    <t xml:space="preserve">  국제언어교육원 인쇄물 등</t>
  </si>
  <si>
    <t xml:space="preserve">  인력개발원 부속기관 인쇄 등</t>
  </si>
  <si>
    <t>을지인력개발원 카드수수료 외</t>
  </si>
  <si>
    <t xml:space="preserve">  합     계</t>
  </si>
  <si>
    <t xml:space="preserve"> 국제언어교육원 어학특강 강의료</t>
  </si>
  <si>
    <t xml:space="preserve"> 각종세미나 특강</t>
  </si>
  <si>
    <t>임용예정자(아르바이트)</t>
  </si>
  <si>
    <t xml:space="preserve">  영업배상책임보험 등</t>
  </si>
  <si>
    <t xml:space="preserve">  미술품 화재도난 보험</t>
  </si>
  <si>
    <t xml:space="preserve">  skylife 사용료           79,000X12월</t>
  </si>
  <si>
    <t xml:space="preserve">  교학지원팀 학위수여증서 및 케이스 외 </t>
  </si>
  <si>
    <t xml:space="preserve">  MBTI등 검사지 구매</t>
  </si>
  <si>
    <t xml:space="preserve">  기획조정처 각종 평가보고서 인쇄</t>
  </si>
  <si>
    <t xml:space="preserve">  교양학부 교과목수강편람 제본 외</t>
  </si>
  <si>
    <t xml:space="preserve">  홍보팀 사보제작비 및 원고료</t>
  </si>
  <si>
    <t xml:space="preserve">  재산세(건물,토지)</t>
  </si>
  <si>
    <t xml:space="preserve">  기타 제세공과금 등</t>
  </si>
  <si>
    <t xml:space="preserve"> 연구실 안전관리 운영비</t>
  </si>
  <si>
    <t xml:space="preserve"> 학과장회의 경비</t>
  </si>
  <si>
    <t xml:space="preserve"> 보건실 의약품 구입</t>
  </si>
  <si>
    <t xml:space="preserve"> 민방위소집훈련 경비</t>
  </si>
  <si>
    <t xml:space="preserve"> 부속실 식음료대 외</t>
  </si>
  <si>
    <t>법률자문 및 직원평가 용역비 외</t>
  </si>
  <si>
    <t xml:space="preserve"> 학교홍보(옥탑광고)</t>
  </si>
  <si>
    <t>합         계</t>
  </si>
  <si>
    <t xml:space="preserve"> 기  타</t>
  </si>
  <si>
    <t xml:space="preserve">  국가고시 관련 광고비</t>
  </si>
  <si>
    <t xml:space="preserve"> 교원 신규채용 심사비</t>
  </si>
  <si>
    <t xml:space="preserve"> 국제교류 운영 부대비용</t>
  </si>
  <si>
    <t xml:space="preserve"> 교양학부 EU프레젠케이션 진행경비</t>
  </si>
  <si>
    <t xml:space="preserve"> 학과,부서운영비(1,2학기)</t>
  </si>
  <si>
    <t xml:space="preserve"> 기  타</t>
  </si>
  <si>
    <t>소         계</t>
  </si>
  <si>
    <t xml:space="preserve"> 교육용,행정용 집기 구입비</t>
  </si>
  <si>
    <t>현물기부금</t>
  </si>
  <si>
    <t xml:space="preserve">  생활관 등 기타시설관리비</t>
  </si>
  <si>
    <t>교내장학금(학부)</t>
  </si>
  <si>
    <t xml:space="preserve">  교육시설 재난공제회 보험료</t>
  </si>
  <si>
    <t>(별지 제1의4호 서식)</t>
  </si>
  <si>
    <t xml:space="preserve"> 등 록 금 명 세 서</t>
  </si>
  <si>
    <t>(성남캠퍼스)</t>
  </si>
  <si>
    <t>(단위:원)</t>
  </si>
  <si>
    <t>합  계</t>
  </si>
  <si>
    <t>을지대학교(전체)</t>
  </si>
  <si>
    <t>(단위 : 천원)</t>
  </si>
  <si>
    <t>수                    입</t>
  </si>
  <si>
    <t>지                    출</t>
  </si>
  <si>
    <t>관        별</t>
  </si>
  <si>
    <t>구성비</t>
  </si>
  <si>
    <t>본예산대비
(증, 감액)</t>
  </si>
  <si>
    <t>내 용</t>
  </si>
  <si>
    <t>내역</t>
  </si>
  <si>
    <t>차액</t>
  </si>
  <si>
    <t>운
영
수
입</t>
  </si>
  <si>
    <t>등  록  금  수  입</t>
  </si>
  <si>
    <t>운
영
지
출</t>
  </si>
  <si>
    <t>보                수</t>
  </si>
  <si>
    <t>전입 및 기부수입</t>
  </si>
  <si>
    <t>관  리  운  영  비</t>
  </si>
  <si>
    <t>시설관리비</t>
  </si>
  <si>
    <t>일반관리비</t>
  </si>
  <si>
    <t>운영비</t>
  </si>
  <si>
    <t>교 육 부 대 수 입</t>
  </si>
  <si>
    <t>연 구 학 생 경 비</t>
  </si>
  <si>
    <t>연구비</t>
  </si>
  <si>
    <t>장학금(교외,교내장학금)</t>
  </si>
  <si>
    <t>실험실습비</t>
  </si>
  <si>
    <t>논문심사비</t>
  </si>
  <si>
    <t>학생지원비</t>
  </si>
  <si>
    <t>입시관리비</t>
  </si>
  <si>
    <t>교  육  외  수  입</t>
  </si>
  <si>
    <t>교  육  외   비  용</t>
  </si>
  <si>
    <t>잡손실</t>
  </si>
  <si>
    <t>예        비        비</t>
  </si>
  <si>
    <t>예비비</t>
  </si>
  <si>
    <t>계</t>
  </si>
  <si>
    <t>자본
및
부채
수입</t>
  </si>
  <si>
    <t>투자와 기타 자산 수입</t>
  </si>
  <si>
    <t>자본
및
부채
지출</t>
  </si>
  <si>
    <t>투자와 기타 자산</t>
  </si>
  <si>
    <t>임차보증금지출</t>
  </si>
  <si>
    <t>기타자산지출</t>
  </si>
  <si>
    <t>임의연구기금적립</t>
  </si>
  <si>
    <t>임의건축기금적립</t>
  </si>
  <si>
    <t>임의장학기금적립</t>
  </si>
  <si>
    <t>임의기타기금적립</t>
  </si>
  <si>
    <t>고정자산매각수입</t>
  </si>
  <si>
    <t>부동산매입(토지)</t>
  </si>
  <si>
    <t xml:space="preserve"> </t>
  </si>
  <si>
    <t>기계기구매입비</t>
  </si>
  <si>
    <t>집기비품매입비</t>
  </si>
  <si>
    <t>차량운반구</t>
  </si>
  <si>
    <t>도서매입비</t>
  </si>
  <si>
    <t>박물관유물 구입</t>
  </si>
  <si>
    <t>의정부캠퍼스 공사비</t>
  </si>
  <si>
    <t>유 동 부 채 입 금</t>
  </si>
  <si>
    <t>유동부채   상   환</t>
  </si>
  <si>
    <t>고 정 부 채 입 금</t>
  </si>
  <si>
    <t>고정부채   상   환</t>
  </si>
  <si>
    <t xml:space="preserve">기숙사 임대보증금 반환 </t>
  </si>
  <si>
    <t>계</t>
  </si>
  <si>
    <t>미사용
전  기
이  월
자  금</t>
  </si>
  <si>
    <t>기 초 유 동 자 산</t>
  </si>
  <si>
    <t>미사용
차  기
이  월
자  금</t>
  </si>
  <si>
    <t>기 말 유 동 자 산</t>
  </si>
  <si>
    <t>기 초 유 동 부 채</t>
  </si>
  <si>
    <t>기 말 유 동 부 채</t>
  </si>
  <si>
    <t xml:space="preserve">전 기 이 월 자 금 </t>
  </si>
  <si>
    <t>차 기 이 월 자 금</t>
  </si>
  <si>
    <t>자 금 수 입 총 계</t>
  </si>
  <si>
    <t>자 금 지 출 총 계</t>
  </si>
  <si>
    <t>자 금 지 출 총 계</t>
  </si>
  <si>
    <t>등록금회계
(A)</t>
  </si>
  <si>
    <t>비등록금회계
(B)</t>
  </si>
  <si>
    <t>내부거래
©</t>
  </si>
  <si>
    <t>계
(A+B-C)</t>
  </si>
  <si>
    <t>특별회계전입금</t>
  </si>
  <si>
    <t>특별회계전입금</t>
  </si>
  <si>
    <t xml:space="preserve">  비도서구입 외</t>
  </si>
  <si>
    <t xml:space="preserve"> 행정용 기계기구 구입 외</t>
  </si>
  <si>
    <t xml:space="preserve">  기타 (학생지도비 등)</t>
  </si>
  <si>
    <t xml:space="preserve"> (대전캠퍼스)</t>
  </si>
  <si>
    <t xml:space="preserve"> 운영위원회 회의비 등</t>
  </si>
  <si>
    <t xml:space="preserve">  (성남캠퍼스)</t>
  </si>
  <si>
    <t xml:space="preserve"> 학생생활상담센터 홍보물 제작</t>
  </si>
  <si>
    <t xml:space="preserve">  학과별사무용소모품비</t>
  </si>
  <si>
    <t xml:space="preserve">  공기청정기 유지</t>
  </si>
  <si>
    <t xml:space="preserve">  무정전전원장치 유지보수비</t>
  </si>
  <si>
    <t xml:space="preserve">  청소용역비 월49,900,000 X 12개월</t>
  </si>
  <si>
    <t xml:space="preserve">  경비시설용역비 월19,300,000 X 12개월</t>
  </si>
  <si>
    <t xml:space="preserve">  시설관리용역비 월23,300,000X 12개월</t>
  </si>
  <si>
    <t xml:space="preserve">  전산정보팀 무선랜고도화 공사</t>
  </si>
  <si>
    <t xml:space="preserve">  전산장비점검료(네트워크 및 보안장비 등)</t>
  </si>
  <si>
    <t xml:space="preserve">  시설 개보수비 등</t>
  </si>
  <si>
    <t xml:space="preserve">  합        계</t>
  </si>
  <si>
    <t xml:space="preserve">  추가요금</t>
  </si>
  <si>
    <t>(대전캠퍼스)</t>
  </si>
  <si>
    <t xml:space="preserve">  연구실안전 환경개선비 등</t>
  </si>
  <si>
    <t>2016 재난공제회 보험가입</t>
  </si>
  <si>
    <t xml:space="preserve"> 교내 실습생 생해보험</t>
  </si>
  <si>
    <t xml:space="preserve"> 캠퍼스 종합가드보험</t>
  </si>
  <si>
    <t xml:space="preserve"> 자동차보험</t>
  </si>
  <si>
    <t>(대전캠퍼스) 평생교육원 학습 보조 외</t>
  </si>
  <si>
    <t xml:space="preserve"> 합      계</t>
  </si>
  <si>
    <t xml:space="preserve"> 연구간접지원경비 (비등록금 회계)</t>
  </si>
  <si>
    <t xml:space="preserve"> 합     계</t>
  </si>
  <si>
    <t xml:space="preserve"> 직원성과급</t>
  </si>
  <si>
    <t xml:space="preserve"> 생활관 전기료 등</t>
  </si>
  <si>
    <t>연수원 전기료 등</t>
  </si>
  <si>
    <t xml:space="preserve">  을지인력개발원 종합부동산세 외</t>
  </si>
  <si>
    <t>평생교육원 학점은행제 신청수수료 외</t>
  </si>
  <si>
    <t xml:space="preserve"> 을지인력개발원 야간 경비근무자  야식대 외</t>
  </si>
  <si>
    <t>평생교육원 특별과정 및 학점은행제 홍보</t>
  </si>
  <si>
    <t>평생교육원 특별과정</t>
  </si>
  <si>
    <t>간호대학 국제학술대회 등</t>
  </si>
  <si>
    <t xml:space="preserve"> 교외 연구비</t>
  </si>
  <si>
    <t xml:space="preserve"> 국가장학금(1,2유형)</t>
  </si>
  <si>
    <t xml:space="preserve"> 지방자치단체 장학금</t>
  </si>
  <si>
    <t xml:space="preserve"> 국가근로 및 교육지원 등</t>
  </si>
  <si>
    <t>(성남캠퍼스)</t>
  </si>
  <si>
    <t>평생교육원 특별과정 교육경비</t>
  </si>
  <si>
    <t xml:space="preserve"> (성남캠퍼스)</t>
  </si>
  <si>
    <t xml:space="preserve">(대전캠퍼스)                      </t>
  </si>
  <si>
    <t>하계졸업인정영어강좌                            5,200,000</t>
  </si>
  <si>
    <t>토익토플영어강좌                                 2,250,000</t>
  </si>
  <si>
    <t>(대전캠퍼스)                          계           1,533,497,000</t>
  </si>
  <si>
    <t>대여료 등                                             2,000,000</t>
  </si>
  <si>
    <t xml:space="preserve">편의시설임대등                                      60,000,000 </t>
  </si>
  <si>
    <t xml:space="preserve"> (성남캠퍼스)이자발생액 및 적립금</t>
  </si>
  <si>
    <t>등록금회계
전입금</t>
  </si>
  <si>
    <t>특별회계
전입금</t>
  </si>
  <si>
    <t>전        출        금</t>
  </si>
  <si>
    <t xml:space="preserve"> (대전캠퍼스)이자발생액 + 건물감가상각</t>
  </si>
  <si>
    <t xml:space="preserve">  입시 전형료 수수료 </t>
  </si>
  <si>
    <t>(성남캠퍼스)</t>
  </si>
  <si>
    <t>합   계                                                 2,530,000,000</t>
  </si>
  <si>
    <t>등록금회계전입금                                   3,700,000,000</t>
  </si>
  <si>
    <t>국가근로,교육지원,보훈,새터민 등               950,000,000</t>
  </si>
  <si>
    <t>인원</t>
  </si>
  <si>
    <t>입학금</t>
  </si>
  <si>
    <t>수업료</t>
  </si>
  <si>
    <t>대학원 의학과 해부학 및 신경과학 전공</t>
  </si>
  <si>
    <t>대학원 의학과 미생물학 및 면역학 전공</t>
  </si>
  <si>
    <t>대학원 의학과 약리학 전공</t>
  </si>
  <si>
    <t>대학원 의학과 내과학 전공</t>
  </si>
  <si>
    <t>대학원 의학과 외과학 전공</t>
  </si>
  <si>
    <t>대학원 의학과 신경과학 전공</t>
  </si>
  <si>
    <t>대학원 의학과 피부과학 전공</t>
  </si>
  <si>
    <t>대학원 의학과 정형외과학 전공</t>
  </si>
  <si>
    <t>대학원 의학과 성형외과학 전공</t>
  </si>
  <si>
    <t>대학원 의학과 비뇨기과학 전공</t>
  </si>
  <si>
    <t>대학원 의학과 안과학 전공</t>
  </si>
  <si>
    <t>대학원 의학과 영상의학 전공</t>
  </si>
  <si>
    <t>대학원 의학과 마취통증의학 전공</t>
  </si>
  <si>
    <t>대학원 간호학과 간호학 전공</t>
  </si>
  <si>
    <t>대학원 보건학과 보건학 전공</t>
  </si>
  <si>
    <t>대학원 임상병리학과 임상병리학 전공</t>
  </si>
  <si>
    <t>대학원 방사선학과 방사선학 전공</t>
  </si>
  <si>
    <t>대학원 안경광학과 안경광학 전공</t>
  </si>
  <si>
    <t>대학원 의료경영학과 의료경영학 전공</t>
  </si>
  <si>
    <t>대학원 보건환경안전학과 보건환경안전학 전공</t>
  </si>
  <si>
    <t>대학원 식품산업외식학과 식품산업외식학전공</t>
  </si>
  <si>
    <t>대학원 의료IT마케팅학과 의료IT마케팅학 전공</t>
  </si>
  <si>
    <t>대학원 장례의과학과 장례의과학 전공</t>
  </si>
  <si>
    <t>대학원 물리치료학과 물리치료학 전공</t>
  </si>
  <si>
    <t>대학원 시니어헬스케어학과 시니어헬스케어학 전공</t>
  </si>
  <si>
    <t>대학원 스포츠관광융합학과 스포츠관광융합학 전공</t>
  </si>
  <si>
    <t>대학원 식품영양학과 임상영양학 전공</t>
  </si>
  <si>
    <t>보건대학원 물리치료학과 물리치료학 전공</t>
  </si>
  <si>
    <t>보건대학원 안경광학과 안경광학 전공</t>
  </si>
  <si>
    <t>보건대학원 응급의료학과 응급의료학 전공</t>
  </si>
  <si>
    <t>보건대학원 치위생학과 치위생학 전공</t>
  </si>
  <si>
    <t>보건대학원 미용화장품과학과 미용화장품과학 전공</t>
  </si>
  <si>
    <t>임상간호대학원 임상간호학과 노인간호전공</t>
  </si>
  <si>
    <t>임상간호대학원 임상간호학과 정신간호전공</t>
  </si>
  <si>
    <t>임상간호대학원 임상간호학과 임상간호교육전공</t>
  </si>
  <si>
    <t>2017학년도 추경예산서 총괄표</t>
  </si>
  <si>
    <t>2017학년도 교비회계 추경예산서</t>
  </si>
  <si>
    <t>(2017. 3. 1 부터 2018. 2. 28 까지)</t>
  </si>
  <si>
    <r>
      <t>2017</t>
    </r>
    <r>
      <rPr>
        <sz val="11"/>
        <rFont val="돋움"/>
        <family val="3"/>
      </rPr>
      <t>회계연도</t>
    </r>
    <r>
      <rPr>
        <sz val="11"/>
        <rFont val="돋움"/>
        <family val="3"/>
      </rPr>
      <t xml:space="preserve"> 추경</t>
    </r>
    <r>
      <rPr>
        <sz val="11"/>
        <rFont val="돋움"/>
        <family val="3"/>
      </rPr>
      <t>예산</t>
    </r>
  </si>
  <si>
    <r>
      <t>2017</t>
    </r>
    <r>
      <rPr>
        <sz val="11"/>
        <rFont val="돋움"/>
        <family val="3"/>
      </rPr>
      <t>회계연도 
예산(B)</t>
    </r>
  </si>
  <si>
    <t>임의특정목적
적립금적립</t>
  </si>
  <si>
    <t>추경(A)</t>
  </si>
  <si>
    <t>본예산(B)</t>
  </si>
  <si>
    <t>본예산(B)</t>
  </si>
  <si>
    <r>
      <rPr>
        <b/>
        <sz val="18"/>
        <rFont val="바탕체"/>
        <family val="1"/>
      </rPr>
      <t xml:space="preserve">2017학년도 
</t>
    </r>
    <r>
      <rPr>
        <b/>
        <sz val="34"/>
        <rFont val="바탕체"/>
        <family val="1"/>
      </rPr>
      <t xml:space="preserve">
추경예산서</t>
    </r>
  </si>
  <si>
    <t>(2017. 3. 1 부터 2018. 2. 28까지)</t>
  </si>
  <si>
    <t>2017학년도 추경예산 세입세출 예산서 총괄표</t>
  </si>
  <si>
    <t>2017학년도 등록금회계 추경예산서</t>
  </si>
  <si>
    <t>2017회계연도 
추경예산액
(A)</t>
  </si>
  <si>
    <t>2017회계연도 
예산액
(B)</t>
  </si>
  <si>
    <t>정기예금 및 기타예금 수입이자              612,000,000</t>
  </si>
  <si>
    <t>정기예금 및 기타예금 수입이자              100,086,000</t>
  </si>
  <si>
    <t xml:space="preserve">  소      계                                          712,086,000</t>
  </si>
  <si>
    <t xml:space="preserve"> 잡수입                                                20,000,000</t>
  </si>
  <si>
    <t>해외연구지원금 환수 외                          12,614,000</t>
  </si>
  <si>
    <t xml:space="preserve">  소      계                                            37,614,000</t>
  </si>
  <si>
    <t xml:space="preserve"> 교수학습지원센터 소그룸세미나 강의료 등</t>
  </si>
  <si>
    <t>(성남캠퍼스) 건축물 수시 개보수공사 외</t>
  </si>
  <si>
    <t>(대전캠퍼스) 건축물 수시 개보수공사 외</t>
  </si>
  <si>
    <t>교환기유지보수비   90,000원 X 12월</t>
  </si>
  <si>
    <t xml:space="preserve">  기타시설용역비</t>
  </si>
  <si>
    <t xml:space="preserve"> 연구활동종사자 상해보험 외</t>
  </si>
  <si>
    <t xml:space="preserve">  연구실 안전진단 외</t>
  </si>
  <si>
    <t>(성남캠퍼스) 유류대 외</t>
  </si>
  <si>
    <t>(대전캠퍼스) 유류대 외</t>
  </si>
  <si>
    <t xml:space="preserve">  전산정보팀 전산용품 구입 </t>
  </si>
  <si>
    <t xml:space="preserve">  우편요금 외</t>
  </si>
  <si>
    <t xml:space="preserve">각종 협의회및 학회회비 </t>
  </si>
  <si>
    <t xml:space="preserve"> 연구활동 종사자 검진비</t>
  </si>
  <si>
    <t>연수원 사용료 및 부속실 경비 외</t>
  </si>
  <si>
    <t>교직원 건강검진 사용비 외</t>
  </si>
  <si>
    <t>하계동계 교직원 대학발전세미나 외</t>
  </si>
  <si>
    <t xml:space="preserve"> 교내연구비</t>
  </si>
  <si>
    <t xml:space="preserve">  교내 연구 관리비 등</t>
  </si>
  <si>
    <t xml:space="preserve">  공동실습소모품 구입 등</t>
  </si>
  <si>
    <t xml:space="preserve">  취업클리닉캠프 외</t>
  </si>
  <si>
    <t>계절학기 학점은행제수강료,고교심화 등   100,290,000</t>
  </si>
  <si>
    <t>평생교육원수강료                              650,000,000</t>
  </si>
  <si>
    <t>외국어교육원 수강료                          200,000,000</t>
  </si>
  <si>
    <t>아동발달센터 수강료                            78,000,000</t>
  </si>
  <si>
    <t>(성남캠퍼스)                             계     928,000,000</t>
  </si>
  <si>
    <t>(대전캠퍼스)                                계  107,740,000</t>
  </si>
  <si>
    <t>사학연금 법인부담금                                1,685,000,000</t>
  </si>
  <si>
    <t>국민연금 법인부담금                                  200,000,000</t>
  </si>
  <si>
    <t>건강보험 법인부담금                                  642,000,000</t>
  </si>
  <si>
    <t>산재 · 고용보험 법인부담금                          173,000,000</t>
  </si>
  <si>
    <t>부속병원전입금                                      9,000,000,000</t>
  </si>
  <si>
    <t>일반 기부금                                      54,720,000</t>
  </si>
  <si>
    <t>일반 기부금                                       6,000,000</t>
  </si>
  <si>
    <t>(의)을지병원 기부금                        7,700,000,000</t>
  </si>
  <si>
    <t>(대전캠퍼스)                           계    7,900,000,000</t>
  </si>
  <si>
    <t>(성남캠퍼스)                           계    1,236,420,000</t>
  </si>
  <si>
    <t xml:space="preserve"> 기타(장학금지원등)                        1,236,420,000</t>
  </si>
  <si>
    <t xml:space="preserve"> 지자체지원금(의용소방대 등)                     71,414,000</t>
  </si>
  <si>
    <t>국가장학금(1,2유형)                              9,100,000,000</t>
  </si>
  <si>
    <t>(성남캠퍼스)                             계      10,400,000,000</t>
  </si>
  <si>
    <t>보훈장학금                                               4,632,000</t>
  </si>
  <si>
    <t>연구실안전관리사업비                               18,478,000</t>
  </si>
  <si>
    <t>해외연구용역 지원금 외                           322,000,000</t>
  </si>
  <si>
    <t>대학교(수시,정시,편입)                           100,000,000</t>
  </si>
  <si>
    <t>대학교 (수시,정시,편입)                          715,475,000</t>
  </si>
  <si>
    <t>성적,졸업 증명                                      13,046,000</t>
  </si>
  <si>
    <t>성적,졸업 증명                                        1,000,000</t>
  </si>
  <si>
    <t>대여료 등                                          111,450,000</t>
  </si>
  <si>
    <t>논문심사료                                            2,000,000</t>
  </si>
  <si>
    <t>을지인력개발원 사용수입외                    2,188,256,000</t>
  </si>
  <si>
    <t>정기예금 및 기타예금 수입이자                620,420,000</t>
  </si>
  <si>
    <t>정기예금 및 기타예금 수입이자              1,240,841,000</t>
  </si>
  <si>
    <t>기타 운영 잡수입                                   15,000,000</t>
  </si>
  <si>
    <t>민원수수료 등                                        4,864,000</t>
  </si>
  <si>
    <t>의정부 캠퍼스 투자지출                             19,224,901,000</t>
  </si>
  <si>
    <t>2017학년도 비등록금회계 추경예산서</t>
  </si>
  <si>
    <t>2017회계연도 
추경예산액(A)</t>
  </si>
  <si>
    <t>2017회계연도 
예산액(B)</t>
  </si>
  <si>
    <t>생활관 임대보증금 외                              100,400,000</t>
  </si>
  <si>
    <t>교원인건비
(성남144명, 대전268명, 합계 412명)</t>
  </si>
  <si>
    <t>조교인건비
(성남61명, 대전29명, 합계 90명)</t>
  </si>
  <si>
    <t>직원인건비
(성남56명, 대전10명, 합계 66명)</t>
  </si>
  <si>
    <t xml:space="preserve"> 성남 교원 급여</t>
  </si>
  <si>
    <t xml:space="preserve"> 대전 교원 급여</t>
  </si>
  <si>
    <t>합       계</t>
  </si>
  <si>
    <t xml:space="preserve"> </t>
  </si>
  <si>
    <t xml:space="preserve"> 성남 교원 급여 제수당</t>
  </si>
  <si>
    <t xml:space="preserve"> 대전 교원 급여 제수당</t>
  </si>
  <si>
    <t xml:space="preserve"> 학점은행제 외 강사료</t>
  </si>
  <si>
    <t xml:space="preserve">  교원 성과급</t>
  </si>
  <si>
    <t xml:space="preserve">  연구 성과급 (성남)</t>
  </si>
  <si>
    <t xml:space="preserve">  연구 성과급 (대전)</t>
  </si>
  <si>
    <t xml:space="preserve">  책임지도교수비 외 학생지도비</t>
  </si>
  <si>
    <t xml:space="preserve">  국가고시관련 포상금 외</t>
  </si>
  <si>
    <t xml:space="preserve">  학위 논문심사비 외</t>
  </si>
  <si>
    <t>합       계</t>
  </si>
  <si>
    <t xml:space="preserve"> </t>
  </si>
  <si>
    <t xml:space="preserve"> 성남 조교 인건비(61명)</t>
  </si>
  <si>
    <t xml:space="preserve"> 대전 조교 인건비(29명)</t>
  </si>
  <si>
    <t>합      계</t>
  </si>
  <si>
    <t>본 봉(66명)</t>
  </si>
  <si>
    <t>제수당(66명)</t>
  </si>
  <si>
    <t>사학연금퇴직부담금</t>
  </si>
  <si>
    <t xml:space="preserve"> 평생교육원 학점은행제 강의료 등</t>
  </si>
  <si>
    <t xml:space="preserve">  기숙사 메트리스살균청소 용역 외</t>
  </si>
  <si>
    <t xml:space="preserve">  을지인력개발원 시설,경비,청소용역비 외</t>
  </si>
  <si>
    <t xml:space="preserve"> 을지인력개발원 주택동 및 시설사용료 등</t>
  </si>
  <si>
    <t xml:space="preserve">  생활관 소모품비 구입 등</t>
  </si>
  <si>
    <t>생활관 도시가스료 외</t>
  </si>
  <si>
    <t xml:space="preserve"> 을지인력개발원 난방용석유 외</t>
  </si>
  <si>
    <t xml:space="preserve">  외국어교육원 홍보물 제작 외</t>
  </si>
  <si>
    <t xml:space="preserve"> 해외연구용역사업(방글라데시,우즈벡) 외</t>
  </si>
  <si>
    <t xml:space="preserve"> 사설 및 기타장학금 외</t>
  </si>
  <si>
    <t>평생교육원 학점은행제 교내장학금</t>
  </si>
  <si>
    <t>평생교육원 교육과정 등</t>
  </si>
  <si>
    <t>2017회계연도 
추경예산액
(A)</t>
  </si>
  <si>
    <t>2017회계연도 
예산액
(B)</t>
  </si>
  <si>
    <t xml:space="preserve"> 평생교육원 교육과정 경비 등</t>
  </si>
  <si>
    <t xml:space="preserve">  신입생모집 및 기타 홍보물 제작 등</t>
  </si>
  <si>
    <t>대학원입시경비</t>
  </si>
  <si>
    <t xml:space="preserve">  인터넷광고비</t>
  </si>
  <si>
    <t xml:space="preserve">  적성 및 면접고사 등</t>
  </si>
  <si>
    <t xml:space="preserve">  오프라인 광고 등</t>
  </si>
  <si>
    <t>연구실 조성 기자재 구입 등</t>
  </si>
  <si>
    <t>(성남캠퍼스)</t>
  </si>
  <si>
    <t>의정부캠퍼스 공사비</t>
  </si>
  <si>
    <t>실습용 기구 구입 등</t>
  </si>
  <si>
    <r>
      <t>201</t>
    </r>
    <r>
      <rPr>
        <sz val="11"/>
        <rFont val="돋움"/>
        <family val="3"/>
      </rPr>
      <t>7</t>
    </r>
    <r>
      <rPr>
        <sz val="11"/>
        <rFont val="돋움"/>
        <family val="3"/>
      </rPr>
      <t>학년도 예산</t>
    </r>
  </si>
  <si>
    <r>
      <t>2017</t>
    </r>
    <r>
      <rPr>
        <sz val="11"/>
        <rFont val="돋움"/>
        <family val="3"/>
      </rPr>
      <t>학년도 추경예산</t>
    </r>
  </si>
  <si>
    <t>등록금수입   46,365,601
단기수강료    1,265,277
'17년 등록금 동결 적용
'17년 등록예상인원 5,412명 (전년대비 -43명)
-학   부 5,138명(성남 4,382명, 대전 756명) 
-대학원  274명
'16년 등록예상인원 5,455명 (전년대비 -128명)
-학   부 5,173명(성남 4,395명, 대전 778명) 
-대학원  282명</t>
  </si>
  <si>
    <t xml:space="preserve"> 학부 1,233명                                         972,837,000</t>
  </si>
  <si>
    <t xml:space="preserve"> 학부  194명                                           153,066,000</t>
  </si>
  <si>
    <t xml:space="preserve"> 일반,보건,임상보건대학원   140명             126,067,000</t>
  </si>
  <si>
    <t>1,2,3,4학년 수업료 (학부)                         35,862,764,000</t>
  </si>
  <si>
    <t>(성남캠퍼스)                                     계  35,862,764,000</t>
  </si>
  <si>
    <t>1,2,3,4학년 수업료 (학부)                          6,849,943,000</t>
  </si>
  <si>
    <t>일반,보건,임상보건대학원 수업료(대학원)    2,400,924,000</t>
  </si>
  <si>
    <t xml:space="preserve"> (대전캠퍼스)                                   계    9,250,867,000</t>
  </si>
  <si>
    <t xml:space="preserve"> (대전캠퍼스)                                   계   279,133,000</t>
  </si>
  <si>
    <t>구분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</si>
  <si>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</si>
  <si>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</si>
  <si>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</si>
  <si>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</si>
  <si>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</si>
  <si>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</si>
  <si>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</si>
  <si>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</si>
  <si>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</si>
  <si>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비고</t>
  </si>
  <si>
    <t>1인당
금액</t>
  </si>
  <si>
    <t>금액</t>
  </si>
  <si>
    <t>학부</t>
  </si>
  <si>
    <t>인문사회</t>
  </si>
  <si>
    <t>본 과</t>
  </si>
  <si>
    <t>1학기</t>
  </si>
  <si>
    <t>소계</t>
  </si>
  <si>
    <t>2학기</t>
  </si>
  <si>
    <t xml:space="preserve"> </t>
  </si>
  <si>
    <t>이   학</t>
  </si>
  <si>
    <t>본 과</t>
  </si>
  <si>
    <t>2학기</t>
  </si>
  <si>
    <t>하계 계절학기 수업료</t>
  </si>
  <si>
    <t>동계 계절학기 수업료</t>
  </si>
  <si>
    <t>(별지 제1의4호 서식)</t>
  </si>
  <si>
    <t>등 록 금 명 세 서(대학교)</t>
  </si>
  <si>
    <t>(대전캠퍼스)</t>
  </si>
  <si>
    <t>(단위:원)</t>
  </si>
  <si>
    <t>구분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</si>
  <si>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</si>
  <si>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</si>
  <si>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</si>
  <si>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</si>
  <si>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</si>
  <si>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</si>
  <si>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</si>
  <si>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</si>
  <si>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</si>
  <si>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비고</t>
  </si>
  <si>
    <t>1인당금액</t>
  </si>
  <si>
    <t>금액</t>
  </si>
  <si>
    <t>학부</t>
  </si>
  <si>
    <t>의학</t>
  </si>
  <si>
    <t>의예</t>
  </si>
  <si>
    <t>본과</t>
  </si>
  <si>
    <t>소계</t>
  </si>
  <si>
    <t>인문사회</t>
  </si>
  <si>
    <t>의경</t>
  </si>
  <si>
    <t>이학</t>
  </si>
  <si>
    <t>임상
병리</t>
  </si>
  <si>
    <t>간호</t>
  </si>
  <si>
    <t>계절학기수업료</t>
  </si>
  <si>
    <t>학부</t>
  </si>
  <si>
    <t>1,2학기 합계</t>
  </si>
  <si>
    <t>등 록 금 명 세 서(대학원-1)</t>
  </si>
  <si>
    <t>(단위 : 원)</t>
  </si>
  <si>
    <t>학과</t>
  </si>
  <si>
    <t>합계</t>
  </si>
  <si>
    <t>비고</t>
  </si>
  <si>
    <t>대학원 의학과 생리학 및 생물리학 전공</t>
  </si>
  <si>
    <t>대학원 중독상담학과 중독상담학 전공</t>
  </si>
  <si>
    <t>1학기 소 계</t>
  </si>
  <si>
    <t>등 록 금 명 세 서(대학원-2)</t>
  </si>
  <si>
    <t>(단위 : 원)</t>
  </si>
  <si>
    <t>학과</t>
  </si>
  <si>
    <t>소계</t>
  </si>
  <si>
    <t>비고</t>
  </si>
  <si>
    <t>2학기  소  계</t>
  </si>
  <si>
    <t>총   계</t>
  </si>
  <si>
    <t>(별지 제1의3호 서식)</t>
  </si>
  <si>
    <t>학년별, 학과별 학생수명세서</t>
  </si>
  <si>
    <t>(대전캠퍼스)</t>
  </si>
  <si>
    <t>(단위:명)</t>
  </si>
  <si>
    <t>구분</t>
  </si>
  <si>
    <t>학년별</t>
  </si>
  <si>
    <t>계열별 정,현원</t>
  </si>
  <si>
    <t>인문,사회</t>
  </si>
  <si>
    <t>이학</t>
  </si>
  <si>
    <t>공학</t>
  </si>
  <si>
    <t>의.치학</t>
  </si>
  <si>
    <t>약학</t>
  </si>
  <si>
    <t>예.체능</t>
  </si>
  <si>
    <t>농학</t>
  </si>
  <si>
    <t>수.해양</t>
  </si>
  <si>
    <t>자연</t>
  </si>
  <si>
    <t>계</t>
  </si>
  <si>
    <t>예과</t>
  </si>
  <si>
    <t>본과</t>
  </si>
  <si>
    <t>대학</t>
  </si>
  <si>
    <t>1학년</t>
  </si>
  <si>
    <t>정원</t>
  </si>
  <si>
    <t>등록인원</t>
  </si>
  <si>
    <t>3학년</t>
  </si>
  <si>
    <t>정원</t>
  </si>
  <si>
    <t>등록인원</t>
  </si>
  <si>
    <t>4학년</t>
  </si>
  <si>
    <t>정원</t>
  </si>
  <si>
    <t>등록인원</t>
  </si>
  <si>
    <t>소계</t>
  </si>
  <si>
    <t>대학원</t>
  </si>
  <si>
    <t>일반    대학원</t>
  </si>
  <si>
    <t>보건
대학원</t>
  </si>
  <si>
    <t>임상간호   대학원</t>
  </si>
  <si>
    <t>기타학생경비</t>
  </si>
  <si>
    <r>
      <t>201</t>
    </r>
    <r>
      <rPr>
        <sz val="11"/>
        <rFont val="돋움"/>
        <family val="3"/>
      </rPr>
      <t>7</t>
    </r>
    <r>
      <rPr>
        <sz val="11"/>
        <rFont val="돋움"/>
        <family val="3"/>
      </rPr>
      <t>학년도 예산</t>
    </r>
  </si>
  <si>
    <r>
      <t>2017</t>
    </r>
    <r>
      <rPr>
        <sz val="11"/>
        <rFont val="돋움"/>
        <family val="3"/>
      </rPr>
      <t>학년도 추경예산</t>
    </r>
  </si>
  <si>
    <r>
      <t>2017</t>
    </r>
    <r>
      <rPr>
        <sz val="11"/>
        <rFont val="돋움"/>
        <family val="3"/>
      </rPr>
      <t xml:space="preserve">
본예산</t>
    </r>
  </si>
  <si>
    <r>
      <t>2017</t>
    </r>
    <r>
      <rPr>
        <sz val="11"/>
        <rFont val="돋움"/>
        <family val="3"/>
      </rPr>
      <t xml:space="preserve">
추경예산</t>
    </r>
  </si>
  <si>
    <t xml:space="preserve">* 법정부담금                     2,700,000
* 부속병원전입금         계    9,000,000
  -임상교수인건비              9,000,000
* 기부금수입              계    9,197,140
  - 을지병원기부금             7,700,000
  - 기타기부금                   1,497,140
* 국고보조금수입        계   11,966,524
  - 지방자치단체                    71,414
  - 국가장학금 외              11,895,110 </t>
  </si>
  <si>
    <t>* 수험료수입                      815,475
* 증명료                            127,496
* 기타부대수입(연수원 등)   2,250,596</t>
  </si>
  <si>
    <t>* 예금이자수입                2,573,347
* 잡수입                            57,478</t>
  </si>
  <si>
    <t>* 임의기금인출        
- 의정부캠퍼스 건축비       19,224,901</t>
  </si>
  <si>
    <t>기숙사 임대보증금 등          100,400</t>
  </si>
  <si>
    <t>.  2017학년도 세입세출 예산총액을 각각 137,286,094천원으로 한다.</t>
  </si>
  <si>
    <t>가. 등록금 수입 47,401,341천원 - 입학금 1,251,970천원 , 수업료 45,113,631천원 , 단기수강료 수입 1,035,740천원</t>
  </si>
  <si>
    <t>나. 전입금 및 기부수입 32,863,664천원 - 법정부담전입금 2,700,000천원, 부속병원전입금 9,000,000천원,</t>
  </si>
  <si>
    <t xml:space="preserve">                                                          일반기부금 60,720천원, 지정기부금 9,136,420천원,</t>
  </si>
  <si>
    <t xml:space="preserve">                                                          기타국고지원 11,895,110천원, 지방자치단체 71,414천원</t>
  </si>
  <si>
    <t>다. 교육부대수입 3,193,227천원 - 수험료 815,475천원, 증명서발급수수료 14,046천원, 대여료 113,450천원,  기타교육부대수입 2,250,256천원</t>
  </si>
  <si>
    <t>라. 교육외 수입 2,630,825천원 - 예금이자수입 2,573,347천원, 잡수입 57,478천원</t>
  </si>
  <si>
    <t>마. 투자와기타자산수입 19,224,901천원 - 임의건축기금인출수입 19,224,901천원</t>
  </si>
  <si>
    <t>바. 고정부채입금 100,400천원 - 임대보증금수입 100,400천원</t>
  </si>
  <si>
    <t>사. 전기이월자금 31,871,736천원</t>
  </si>
  <si>
    <t>가. 보수 38,241,667천원 - 교원보수 35,271,346천원 , 직원보수 3,024,321천원</t>
  </si>
  <si>
    <t>나. 관리운영비 7,003,617천원 - 시설관리비 3,352,703천원 , 일반관리비 1,920,545천원 , 운영비 1,730,369천원</t>
  </si>
  <si>
    <t>다. 연구학생경비 23,472,978천원 - 연구비 682,443천원 , 학생경비 21,975,060천원 , 입시관리비 815,475천원</t>
  </si>
  <si>
    <t>라. 교육외비용 40,020천원 - 잡손실 40,020천원</t>
  </si>
  <si>
    <t>마. 예비비 1,300,000천원 - 예비비 1,300,000천원</t>
  </si>
  <si>
    <t>바. 투자와기타자산지출 22,329,963천원 -  임의연구기금적립 11,372천원, 임의건축기금적립 21,974,400천원,</t>
  </si>
  <si>
    <t xml:space="preserve">                                                            임의장학기금적립 85,973천원, 임의기타기금적립 258,218천원</t>
  </si>
  <si>
    <t>사. 고정자산매입지출 20,685,238천원 - 기계기구매입비 801,525천원, 집기비품매입비 10,992천원,</t>
  </si>
  <si>
    <t xml:space="preserve">                                                       도서구입비 630,320천원, 건설가계정 19,224,901천원, 무형고정자산취득비 17,500천원</t>
  </si>
  <si>
    <t xml:space="preserve">아. 고정부채상환 105,415천원 - 임대보증금환급 105,415천원 </t>
  </si>
  <si>
    <t xml:space="preserve">자. 차기이월자금 24,107,196천원 </t>
  </si>
  <si>
    <t>임의특정목적
적립금인출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</si>
</sst>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&quot;△&quot;#,##0"/>
    <numFmt numFmtId="180" formatCode="_ * #,##0_ ;_ * \-#,##0_ ;_ * &quot;-&quot;_ ;_ @_ "/>
    <numFmt numFmtId="181" formatCode="_ * #,##0.00_ ;_ * \-#,##0.00_ ;_ * &quot;-&quot;??_ ;_ @_ "/>
    <numFmt numFmtId="182" formatCode="_-* #,##0.0_-;\-* #,##0.0_-;_-* &quot;-&quot;?_-;_-@_-"/>
    <numFmt numFmtId="183" formatCode="#,##0\ _ "/>
    <numFmt numFmtId="184" formatCode="_(* #,##0_);_(* \(#,##0\);_(* &quot;-&quot;_);_(@_)"/>
    <numFmt numFmtId="185" formatCode="#,##0.00_);[Red]\(#,##0.00\)"/>
    <numFmt numFmtId="186" formatCode="_-* #,##0\ _F_-;\-* #,##0\ _F_-;_-* &quot;-&quot;\ _F_-;_-@_-"/>
    <numFmt numFmtId="187" formatCode="_-* #,##0.00\ _F_-;\-* #,##0.00\ _F_-;_-* &quot;-&quot;??\ _F_-;_-@_-"/>
    <numFmt numFmtId="188" formatCode="_-* #,##0\ &quot;F&quot;_-;\-* #,##0\ &quot;F&quot;_-;_-* &quot;-&quot;\ &quot;F&quot;_-;_-@_-"/>
    <numFmt numFmtId="189" formatCode="_-* #,##0.00\ &quot;F&quot;_-;\-* #,##0.00\ &quot;F&quot;_-;_-* &quot;-&quot;??\ &quot;F&quot;_-;_-@_-"/>
    <numFmt numFmtId="190" formatCode="#,##0_);\(#,##0\)"/>
    <numFmt numFmtId="191" formatCode="#,##0_ ;[Red]\-#,##0\ "/>
    <numFmt numFmtId="192" formatCode="[$-412]yyyy&quot;년&quot;\ m&quot;월&quot;\ d&quot;일&quot;\ dddd"/>
    <numFmt numFmtId="193" formatCode="[$-412]AM/PM\ h:mm:ss"/>
    <numFmt numFmtId="194" formatCode="&quot;₩&quot;#,##0_);[Red]\(&quot;₩&quot;#,##0\)"/>
    <numFmt numFmtId="195" formatCode="0_ ;[Red]\-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 "/>
  </numFmts>
  <fonts count="73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sz val="24"/>
      <name val="돋움"/>
      <family val="3"/>
    </font>
    <font>
      <i/>
      <sz val="10"/>
      <name val="돋움"/>
      <family val="3"/>
    </font>
    <font>
      <u val="single"/>
      <sz val="10"/>
      <name val="돋움"/>
      <family val="3"/>
    </font>
    <font>
      <sz val="12"/>
      <name val="바탕체"/>
      <family val="1"/>
    </font>
    <font>
      <sz val="8"/>
      <name val="바탕체"/>
      <family val="1"/>
    </font>
    <font>
      <b/>
      <sz val="11"/>
      <name val="바탕체"/>
      <family val="1"/>
    </font>
    <font>
      <b/>
      <sz val="12"/>
      <name val="바탕체"/>
      <family val="1"/>
    </font>
    <font>
      <b/>
      <sz val="20"/>
      <name val="바탕체"/>
      <family val="1"/>
    </font>
    <font>
      <sz val="8"/>
      <name val="바탕"/>
      <family val="1"/>
    </font>
    <font>
      <sz val="11"/>
      <name val="바탕체"/>
      <family val="1"/>
    </font>
    <font>
      <b/>
      <u val="single"/>
      <sz val="16"/>
      <name val="바탕체"/>
      <family val="1"/>
    </font>
    <font>
      <sz val="10"/>
      <name val="바탕체"/>
      <family val="1"/>
    </font>
    <font>
      <b/>
      <sz val="34"/>
      <name val="바탕체"/>
      <family val="1"/>
    </font>
    <font>
      <sz val="18"/>
      <name val="바탕체"/>
      <family val="1"/>
    </font>
    <font>
      <b/>
      <sz val="28"/>
      <name val="바탕체"/>
      <family val="1"/>
    </font>
    <font>
      <b/>
      <sz val="26"/>
      <name val="바탕체"/>
      <family val="1"/>
    </font>
    <font>
      <b/>
      <sz val="24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바탕체"/>
      <family val="1"/>
    </font>
    <font>
      <sz val="10"/>
      <name val="Arial"/>
      <family val="2"/>
    </font>
    <font>
      <sz val="12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b/>
      <sz val="22"/>
      <name val="굴림체"/>
      <family val="3"/>
    </font>
    <font>
      <b/>
      <sz val="11"/>
      <name val="굴림체"/>
      <family val="3"/>
    </font>
    <font>
      <b/>
      <u val="single"/>
      <sz val="20"/>
      <name val="돋움"/>
      <family val="3"/>
    </font>
    <font>
      <sz val="8"/>
      <name val="맑은 고딕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돋움"/>
      <family val="3"/>
    </font>
    <font>
      <b/>
      <sz val="11"/>
      <color indexed="8"/>
      <name val="돋움"/>
      <family val="3"/>
    </font>
    <font>
      <b/>
      <sz val="9"/>
      <name val="돋움"/>
      <family val="3"/>
    </font>
    <font>
      <b/>
      <sz val="11"/>
      <name val="굴림"/>
      <family val="3"/>
    </font>
    <font>
      <b/>
      <u val="single"/>
      <sz val="11"/>
      <name val="돋움"/>
      <family val="3"/>
    </font>
    <font>
      <b/>
      <sz val="18"/>
      <name val="바탕체"/>
      <family val="1"/>
    </font>
    <font>
      <sz val="10"/>
      <name val="Times New Roman"/>
      <family val="1"/>
    </font>
    <font>
      <sz val="10"/>
      <color indexed="8"/>
      <name val="굴림"/>
      <family val="3"/>
    </font>
    <font>
      <b/>
      <u val="single"/>
      <sz val="22"/>
      <name val="돋움"/>
      <family val="3"/>
    </font>
    <font>
      <b/>
      <sz val="10"/>
      <name val="돋움"/>
      <family val="3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9"/>
      <name val="바탕체"/>
      <family val="1"/>
    </font>
    <font>
      <b/>
      <sz val="14"/>
      <name val="돋움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>
        <color indexed="10"/>
      </right>
      <top style="double"/>
      <bottom>
        <color indexed="63"/>
      </bottom>
    </border>
    <border>
      <left style="hair">
        <color indexed="10"/>
      </left>
      <right style="hair">
        <color indexed="10"/>
      </right>
      <top style="double"/>
      <bottom>
        <color indexed="63"/>
      </bottom>
    </border>
    <border>
      <left style="thin"/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thin"/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>
        <color indexed="63"/>
      </bottom>
    </border>
    <border>
      <left style="thin"/>
      <right style="hair">
        <color indexed="5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10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>
        <color indexed="10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C0000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FF0000"/>
      </bottom>
    </border>
    <border>
      <left style="hair"/>
      <right style="thin"/>
      <top>
        <color indexed="63"/>
      </top>
      <bottom style="double"/>
    </border>
    <border>
      <left style="hair">
        <color indexed="10"/>
      </left>
      <right style="thin"/>
      <top style="double"/>
      <bottom>
        <color indexed="63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 style="hair">
        <color indexed="10"/>
      </left>
      <right style="thin"/>
      <top style="hair">
        <color indexed="10"/>
      </top>
      <bottom>
        <color indexed="63"/>
      </bottom>
    </border>
    <border>
      <left style="hair">
        <color indexed="10"/>
      </left>
      <right style="thin"/>
      <top>
        <color indexed="63"/>
      </top>
      <bottom style="thin"/>
    </border>
    <border>
      <left style="hair">
        <color indexed="10"/>
      </left>
      <right style="thin"/>
      <top>
        <color indexed="63"/>
      </top>
      <bottom style="hair">
        <color rgb="FFC00000"/>
      </bottom>
    </border>
    <border>
      <left style="thin"/>
      <right style="hair">
        <color indexed="10"/>
      </right>
      <top>
        <color indexed="63"/>
      </top>
      <bottom style="hair">
        <color rgb="FFFF0000"/>
      </bottom>
    </border>
    <border>
      <left style="hair">
        <color indexed="10"/>
      </left>
      <right style="hair">
        <color indexed="10"/>
      </right>
      <top>
        <color indexed="63"/>
      </top>
      <bottom style="hair"/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rgb="FFC0000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rgb="FFFF0000"/>
      </bottom>
    </border>
    <border>
      <left style="hair">
        <color indexed="10"/>
      </left>
      <right style="thin"/>
      <top>
        <color indexed="63"/>
      </top>
      <bottom style="hair"/>
    </border>
    <border>
      <left style="thin"/>
      <right style="hair">
        <color indexed="10"/>
      </right>
      <top>
        <color indexed="63"/>
      </top>
      <bottom style="hair"/>
    </border>
    <border>
      <left style="thin"/>
      <right>
        <color indexed="63"/>
      </right>
      <top style="hair">
        <color rgb="FFC0000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rgb="FFC00000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>
        <color indexed="10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hair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>
        <color indexed="10"/>
      </bottom>
    </border>
    <border>
      <left>
        <color indexed="63"/>
      </left>
      <right style="hair"/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/>
      <bottom style="hair"/>
    </border>
    <border>
      <left>
        <color indexed="63"/>
      </left>
      <right style="hair"/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/>
      <right style="hair"/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hair"/>
      <top style="hair">
        <color indexed="10"/>
      </top>
      <bottom style="thin"/>
    </border>
    <border>
      <left>
        <color indexed="63"/>
      </left>
      <right style="hair"/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hair"/>
      <top>
        <color indexed="63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hair"/>
    </border>
    <border>
      <left style="hair">
        <color indexed="10"/>
      </left>
      <right style="hair"/>
      <top>
        <color indexed="63"/>
      </top>
      <bottom style="thin"/>
    </border>
    <border>
      <left style="hair"/>
      <right style="hair"/>
      <top style="hair">
        <color indexed="10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 style="hair">
        <color indexed="10"/>
      </left>
      <right style="hair"/>
      <top style="hair">
        <color indexed="10"/>
      </top>
      <bottom>
        <color indexed="63"/>
      </bottom>
    </border>
    <border>
      <left>
        <color indexed="63"/>
      </left>
      <right style="hair"/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/>
    </border>
    <border>
      <left>
        <color indexed="63"/>
      </left>
      <right style="thin"/>
      <top style="hair">
        <color indexed="10"/>
      </top>
      <bottom style="hair"/>
    </border>
    <border>
      <left style="hair"/>
      <right style="hair"/>
      <top style="hair">
        <color indexed="10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>
        <color indexed="10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thin"/>
      <bottom style="hair">
        <color indexed="10"/>
      </bottom>
    </border>
    <border>
      <left style="hair">
        <color indexed="10"/>
      </left>
      <right style="hair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/>
      <bottom style="thin"/>
    </border>
    <border>
      <left style="hair"/>
      <right style="hair">
        <color indexed="10"/>
      </right>
      <top style="thin"/>
      <bottom style="thin"/>
    </border>
    <border>
      <left style="hair"/>
      <right style="hair">
        <color indexed="10"/>
      </right>
      <top>
        <color indexed="63"/>
      </top>
      <bottom style="hair">
        <color indexed="10"/>
      </bottom>
    </border>
    <border>
      <left style="hair"/>
      <right style="hair">
        <color indexed="10"/>
      </right>
      <top style="hair">
        <color indexed="10"/>
      </top>
      <bottom style="hair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thin"/>
    </border>
    <border>
      <left style="hair">
        <color indexed="10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 style="hair">
        <color indexed="10"/>
      </left>
      <right>
        <color indexed="63"/>
      </right>
      <top>
        <color indexed="63"/>
      </top>
      <bottom style="hair">
        <color rgb="FFC00000"/>
      </bottom>
    </border>
    <border>
      <left style="hair">
        <color indexed="10"/>
      </left>
      <right style="thin"/>
      <top style="hair">
        <color rgb="FFC00000"/>
      </top>
      <bottom>
        <color indexed="63"/>
      </bottom>
    </border>
    <border>
      <left style="hair">
        <color indexed="10"/>
      </left>
      <right style="hair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0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rgb="FFFF0000"/>
      </bottom>
    </border>
    <border>
      <left style="hair">
        <color indexed="10"/>
      </left>
      <right style="hair">
        <color indexed="10"/>
      </right>
      <top style="hair">
        <color rgb="FFFF0000"/>
      </top>
      <bottom>
        <color indexed="63"/>
      </bottom>
    </border>
    <border>
      <left style="thin"/>
      <right>
        <color indexed="63"/>
      </right>
      <top style="hair">
        <color rgb="FFFF0000"/>
      </top>
      <bottom>
        <color indexed="63"/>
      </bottom>
    </border>
    <border>
      <left style="hair">
        <color indexed="10"/>
      </left>
      <right style="thin"/>
      <top style="hair">
        <color rgb="FFFF0000"/>
      </top>
      <bottom>
        <color indexed="63"/>
      </bottom>
    </border>
    <border>
      <left style="thin"/>
      <right style="hair">
        <color indexed="10"/>
      </right>
      <top style="hair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rgb="FFFF0000"/>
      </bottom>
    </border>
    <border>
      <left style="hair">
        <color indexed="10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 style="thin"/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thin"/>
      <top style="hair">
        <color indexed="10"/>
      </top>
      <bottom style="thin"/>
    </border>
    <border>
      <left style="thin"/>
      <right style="hair">
        <color indexed="10"/>
      </right>
      <top style="hair">
        <color rgb="FFFF0000"/>
      </top>
      <bottom style="thin"/>
    </border>
    <border>
      <left style="hair">
        <color indexed="10"/>
      </left>
      <right style="hair">
        <color indexed="10"/>
      </right>
      <top style="hair">
        <color rgb="FFFF0000"/>
      </top>
      <bottom style="thin"/>
    </border>
    <border>
      <left style="hair">
        <color indexed="10"/>
      </left>
      <right>
        <color indexed="63"/>
      </right>
      <top style="hair">
        <color rgb="FFFF0000"/>
      </top>
      <bottom style="thin"/>
    </border>
    <border>
      <left>
        <color indexed="63"/>
      </left>
      <right>
        <color indexed="63"/>
      </right>
      <top style="hair">
        <color rgb="FFFF0000"/>
      </top>
      <bottom style="thin"/>
    </border>
    <border>
      <left style="thin"/>
      <right style="thin"/>
      <top style="thin"/>
      <bottom style="thin"/>
    </border>
    <border>
      <left style="hair">
        <color rgb="FFFF0000"/>
      </left>
      <right style="hair">
        <color indexed="10"/>
      </right>
      <top>
        <color indexed="63"/>
      </top>
      <bottom style="hair">
        <color rgb="FFFF0000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rgb="FFC00000"/>
      </bottom>
    </border>
    <border>
      <left>
        <color indexed="63"/>
      </left>
      <right style="thin"/>
      <top style="hair">
        <color rgb="FFFF0000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hair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86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0" borderId="0">
      <alignment/>
      <protection/>
    </xf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86" applyAlignment="1">
      <alignment vertical="center"/>
    </xf>
    <xf numFmtId="0" fontId="0" fillId="0" borderId="14" xfId="0" applyBorder="1" applyAlignment="1">
      <alignment horizontal="distributed" vertical="center"/>
    </xf>
    <xf numFmtId="41" fontId="0" fillId="0" borderId="14" xfId="86" applyBorder="1" applyAlignment="1">
      <alignment vertical="center"/>
    </xf>
    <xf numFmtId="0" fontId="0" fillId="0" borderId="0" xfId="0" applyBorder="1" applyAlignment="1">
      <alignment horizontal="distributed" vertical="center"/>
    </xf>
    <xf numFmtId="41" fontId="0" fillId="0" borderId="0" xfId="86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41" fontId="0" fillId="0" borderId="0" xfId="86" applyFont="1" applyAlignment="1">
      <alignment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0" fillId="0" borderId="0" xfId="138" applyFont="1">
      <alignment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41" fontId="16" fillId="0" borderId="0" xfId="86" applyFont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137">
      <alignment vertical="center"/>
      <protection/>
    </xf>
    <xf numFmtId="0" fontId="14" fillId="0" borderId="0" xfId="137" applyFont="1">
      <alignment vertical="center"/>
      <protection/>
    </xf>
    <xf numFmtId="0" fontId="21" fillId="0" borderId="0" xfId="137" applyFont="1" applyAlignment="1">
      <alignment horizontal="center"/>
      <protection/>
    </xf>
    <xf numFmtId="0" fontId="0" fillId="0" borderId="34" xfId="0" applyBorder="1" applyAlignment="1">
      <alignment horizontal="distributed" vertical="center"/>
    </xf>
    <xf numFmtId="0" fontId="0" fillId="0" borderId="0" xfId="138" applyFont="1">
      <alignment/>
      <protection/>
    </xf>
    <xf numFmtId="0" fontId="27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41" fontId="20" fillId="0" borderId="35" xfId="86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41" fontId="20" fillId="0" borderId="35" xfId="86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41" fontId="20" fillId="0" borderId="38" xfId="86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20" fillId="0" borderId="0" xfId="137" applyFont="1">
      <alignment vertical="center"/>
      <protection/>
    </xf>
    <xf numFmtId="0" fontId="20" fillId="0" borderId="0" xfId="137" applyFont="1" applyAlignment="1">
      <alignment vertical="center"/>
      <protection/>
    </xf>
    <xf numFmtId="0" fontId="20" fillId="0" borderId="35" xfId="137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15" fillId="0" borderId="0" xfId="0" applyNumberFormat="1" applyFont="1" applyFill="1" applyAlignment="1">
      <alignment/>
    </xf>
    <xf numFmtId="177" fontId="0" fillId="0" borderId="14" xfId="86" applyNumberFormat="1" applyBorder="1" applyAlignment="1">
      <alignment vertical="center"/>
    </xf>
    <xf numFmtId="177" fontId="0" fillId="0" borderId="0" xfId="86" applyNumberFormat="1" applyBorder="1" applyAlignment="1">
      <alignment vertical="center"/>
    </xf>
    <xf numFmtId="177" fontId="0" fillId="0" borderId="0" xfId="86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41" xfId="0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36" xfId="0" applyFont="1" applyBorder="1" applyAlignment="1">
      <alignment/>
    </xf>
    <xf numFmtId="0" fontId="14" fillId="0" borderId="46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0" fillId="0" borderId="38" xfId="137" applyBorder="1" applyAlignment="1">
      <alignment vertical="center"/>
      <protection/>
    </xf>
    <xf numFmtId="41" fontId="0" fillId="0" borderId="38" xfId="86" applyBorder="1" applyAlignment="1">
      <alignment horizontal="center" vertical="center"/>
    </xf>
    <xf numFmtId="41" fontId="0" fillId="0" borderId="38" xfId="137" applyNumberFormat="1" applyFont="1" applyBorder="1" applyAlignment="1">
      <alignment vertical="center"/>
      <protection/>
    </xf>
    <xf numFmtId="0" fontId="0" fillId="0" borderId="39" xfId="137" applyBorder="1" applyAlignment="1">
      <alignment vertical="center"/>
      <protection/>
    </xf>
    <xf numFmtId="0" fontId="0" fillId="0" borderId="0" xfId="137" applyAlignment="1">
      <alignment vertical="center"/>
      <protection/>
    </xf>
    <xf numFmtId="0" fontId="0" fillId="0" borderId="22" xfId="0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47" xfId="0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45" xfId="0" applyFont="1" applyBorder="1" applyAlignment="1">
      <alignment horizontal="left" vertical="center"/>
    </xf>
    <xf numFmtId="0" fontId="48" fillId="24" borderId="35" xfId="0" applyFont="1" applyFill="1" applyBorder="1" applyAlignment="1">
      <alignment horizontal="centerContinuous" vertical="center"/>
    </xf>
    <xf numFmtId="0" fontId="48" fillId="0" borderId="35" xfId="0" applyFont="1" applyBorder="1" applyAlignment="1">
      <alignment horizontal="centerContinuous" vertical="center"/>
    </xf>
    <xf numFmtId="0" fontId="48" fillId="0" borderId="48" xfId="0" applyFont="1" applyBorder="1" applyAlignment="1">
      <alignment horizontal="centerContinuous" vertical="center"/>
    </xf>
    <xf numFmtId="0" fontId="48" fillId="0" borderId="36" xfId="0" applyFont="1" applyBorder="1" applyAlignment="1">
      <alignment horizontal="centerContinuous" vertical="center"/>
    </xf>
    <xf numFmtId="0" fontId="48" fillId="0" borderId="46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center"/>
    </xf>
    <xf numFmtId="0" fontId="48" fillId="24" borderId="38" xfId="0" applyFont="1" applyFill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distributed" vertical="center"/>
    </xf>
    <xf numFmtId="3" fontId="48" fillId="24" borderId="52" xfId="0" applyNumberFormat="1" applyFont="1" applyFill="1" applyBorder="1" applyAlignment="1">
      <alignment vertical="center"/>
    </xf>
    <xf numFmtId="176" fontId="48" fillId="0" borderId="52" xfId="0" applyNumberFormat="1" applyFont="1" applyBorder="1" applyAlignment="1">
      <alignment vertical="center"/>
    </xf>
    <xf numFmtId="177" fontId="48" fillId="0" borderId="53" xfId="0" applyNumberFormat="1" applyFont="1" applyBorder="1" applyAlignment="1">
      <alignment vertical="center"/>
    </xf>
    <xf numFmtId="0" fontId="48" fillId="0" borderId="45" xfId="0" applyFont="1" applyBorder="1" applyAlignment="1">
      <alignment horizontal="distributed" vertical="center"/>
    </xf>
    <xf numFmtId="3" fontId="48" fillId="24" borderId="43" xfId="0" applyNumberFormat="1" applyFont="1" applyFill="1" applyBorder="1" applyAlignment="1">
      <alignment vertical="center"/>
    </xf>
    <xf numFmtId="176" fontId="48" fillId="0" borderId="43" xfId="0" applyNumberFormat="1" applyFont="1" applyBorder="1" applyAlignment="1">
      <alignment vertical="center"/>
    </xf>
    <xf numFmtId="177" fontId="48" fillId="0" borderId="54" xfId="0" applyNumberFormat="1" applyFont="1" applyBorder="1" applyAlignment="1">
      <alignment vertical="center"/>
    </xf>
    <xf numFmtId="3" fontId="48" fillId="24" borderId="35" xfId="0" applyNumberFormat="1" applyFont="1" applyFill="1" applyBorder="1" applyAlignment="1">
      <alignment horizontal="right" vertical="center"/>
    </xf>
    <xf numFmtId="176" fontId="48" fillId="0" borderId="35" xfId="0" applyNumberFormat="1" applyFont="1" applyBorder="1" applyAlignment="1">
      <alignment horizontal="right" vertical="center"/>
    </xf>
    <xf numFmtId="177" fontId="48" fillId="0" borderId="55" xfId="0" applyNumberFormat="1" applyFont="1" applyBorder="1" applyAlignment="1">
      <alignment horizontal="right" vertical="center"/>
    </xf>
    <xf numFmtId="3" fontId="48" fillId="24" borderId="35" xfId="0" applyNumberFormat="1" applyFont="1" applyFill="1" applyBorder="1" applyAlignment="1">
      <alignment vertical="center"/>
    </xf>
    <xf numFmtId="176" fontId="48" fillId="0" borderId="35" xfId="0" applyNumberFormat="1" applyFont="1" applyBorder="1" applyAlignment="1">
      <alignment vertical="center"/>
    </xf>
    <xf numFmtId="177" fontId="48" fillId="0" borderId="56" xfId="0" applyNumberFormat="1" applyFont="1" applyBorder="1" applyAlignment="1">
      <alignment vertical="center"/>
    </xf>
    <xf numFmtId="177" fontId="48" fillId="0" borderId="55" xfId="0" applyNumberFormat="1" applyFont="1" applyBorder="1" applyAlignment="1">
      <alignment vertical="center"/>
    </xf>
    <xf numFmtId="3" fontId="48" fillId="24" borderId="35" xfId="0" applyNumberFormat="1" applyFont="1" applyFill="1" applyBorder="1" applyAlignment="1" quotePrefix="1">
      <alignment horizontal="right" vertical="center"/>
    </xf>
    <xf numFmtId="0" fontId="48" fillId="0" borderId="35" xfId="0" applyFont="1" applyBorder="1" applyAlignment="1">
      <alignment vertical="center"/>
    </xf>
    <xf numFmtId="0" fontId="48" fillId="0" borderId="46" xfId="0" applyFont="1" applyBorder="1" applyAlignment="1">
      <alignment horizontal="distributed" vertical="center"/>
    </xf>
    <xf numFmtId="3" fontId="48" fillId="24" borderId="38" xfId="0" applyNumberFormat="1" applyFont="1" applyFill="1" applyBorder="1" applyAlignment="1">
      <alignment vertical="center"/>
    </xf>
    <xf numFmtId="176" fontId="48" fillId="0" borderId="38" xfId="0" applyNumberFormat="1" applyFont="1" applyBorder="1" applyAlignment="1">
      <alignment vertical="center"/>
    </xf>
    <xf numFmtId="177" fontId="48" fillId="0" borderId="49" xfId="0" applyNumberFormat="1" applyFont="1" applyBorder="1" applyAlignment="1">
      <alignment vertical="center"/>
    </xf>
    <xf numFmtId="177" fontId="48" fillId="0" borderId="50" xfId="0" applyNumberFormat="1" applyFont="1" applyBorder="1" applyAlignment="1">
      <alignment vertical="center"/>
    </xf>
    <xf numFmtId="0" fontId="48" fillId="0" borderId="57" xfId="0" applyFont="1" applyBorder="1" applyAlignment="1">
      <alignment horizontal="distributed" vertical="center"/>
    </xf>
    <xf numFmtId="3" fontId="48" fillId="24" borderId="58" xfId="0" applyNumberFormat="1" applyFont="1" applyFill="1" applyBorder="1" applyAlignment="1">
      <alignment vertical="center"/>
    </xf>
    <xf numFmtId="9" fontId="48" fillId="0" borderId="58" xfId="0" applyNumberFormat="1" applyFont="1" applyBorder="1" applyAlignment="1">
      <alignment vertical="center"/>
    </xf>
    <xf numFmtId="177" fontId="48" fillId="0" borderId="59" xfId="0" applyNumberFormat="1" applyFont="1" applyBorder="1" applyAlignment="1">
      <alignment vertical="center"/>
    </xf>
    <xf numFmtId="3" fontId="48" fillId="24" borderId="11" xfId="0" applyNumberFormat="1" applyFont="1" applyFill="1" applyBorder="1" applyAlignment="1">
      <alignment vertical="center"/>
    </xf>
    <xf numFmtId="9" fontId="48" fillId="0" borderId="11" xfId="0" applyNumberFormat="1" applyFont="1" applyBorder="1" applyAlignment="1">
      <alignment vertical="center"/>
    </xf>
    <xf numFmtId="177" fontId="48" fillId="0" borderId="6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41" fontId="14" fillId="0" borderId="0" xfId="86" applyFont="1" applyFill="1" applyAlignment="1">
      <alignment/>
    </xf>
    <xf numFmtId="41" fontId="15" fillId="0" borderId="0" xfId="86" applyFont="1" applyFill="1" applyAlignment="1">
      <alignment/>
    </xf>
    <xf numFmtId="41" fontId="20" fillId="0" borderId="61" xfId="86" applyFont="1" applyFill="1" applyBorder="1" applyAlignment="1">
      <alignment horizontal="right"/>
    </xf>
    <xf numFmtId="41" fontId="0" fillId="0" borderId="14" xfId="86" applyFont="1" applyBorder="1" applyAlignment="1">
      <alignment horizontal="distributed" vertical="center"/>
    </xf>
    <xf numFmtId="41" fontId="0" fillId="0" borderId="0" xfId="86" applyFont="1" applyBorder="1" applyAlignment="1">
      <alignment horizontal="distributed" vertical="center"/>
    </xf>
    <xf numFmtId="41" fontId="0" fillId="0" borderId="0" xfId="86" applyFont="1" applyAlignment="1">
      <alignment horizontal="distributed" vertical="center"/>
    </xf>
    <xf numFmtId="41" fontId="0" fillId="0" borderId="0" xfId="86" applyFont="1" applyAlignment="1">
      <alignment vertical="center"/>
    </xf>
    <xf numFmtId="41" fontId="0" fillId="0" borderId="0" xfId="86" applyFont="1" applyAlignment="1">
      <alignment horizontal="right" vertical="center"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 vertical="center"/>
    </xf>
    <xf numFmtId="0" fontId="48" fillId="24" borderId="35" xfId="0" applyFont="1" applyFill="1" applyBorder="1" applyAlignment="1">
      <alignment vertical="center"/>
    </xf>
    <xf numFmtId="0" fontId="48" fillId="0" borderId="10" xfId="0" applyFont="1" applyBorder="1" applyAlignment="1">
      <alignment horizontal="distributed" vertical="center"/>
    </xf>
    <xf numFmtId="0" fontId="20" fillId="0" borderId="62" xfId="137" applyFont="1" applyBorder="1" applyAlignment="1">
      <alignment horizontal="center" vertical="center"/>
      <protection/>
    </xf>
    <xf numFmtId="0" fontId="20" fillId="0" borderId="63" xfId="137" applyFont="1" applyBorder="1" applyAlignment="1">
      <alignment horizontal="center" vertical="center" wrapText="1"/>
      <protection/>
    </xf>
    <xf numFmtId="0" fontId="20" fillId="0" borderId="37" xfId="137" applyFont="1" applyBorder="1" applyAlignment="1">
      <alignment horizontal="center" vertical="center" wrapText="1"/>
      <protection/>
    </xf>
    <xf numFmtId="41" fontId="20" fillId="0" borderId="37" xfId="86" applyFont="1" applyBorder="1" applyAlignment="1">
      <alignment horizontal="center" vertical="center"/>
    </xf>
    <xf numFmtId="10" fontId="20" fillId="0" borderId="37" xfId="137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20" fillId="0" borderId="64" xfId="137" applyFont="1" applyBorder="1" applyAlignment="1">
      <alignment horizontal="center" vertical="center"/>
      <protection/>
    </xf>
    <xf numFmtId="0" fontId="20" fillId="0" borderId="65" xfId="137" applyFont="1" applyBorder="1" applyAlignment="1">
      <alignment horizontal="center" vertical="top"/>
      <protection/>
    </xf>
    <xf numFmtId="0" fontId="20" fillId="0" borderId="66" xfId="137" applyFont="1" applyBorder="1" applyAlignment="1">
      <alignment horizontal="center" vertical="top"/>
      <protection/>
    </xf>
    <xf numFmtId="0" fontId="14" fillId="0" borderId="12" xfId="137" applyFont="1" applyBorder="1" applyAlignment="1">
      <alignment horizontal="center" vertical="top" wrapText="1"/>
      <protection/>
    </xf>
    <xf numFmtId="0" fontId="14" fillId="0" borderId="12" xfId="137" applyFont="1" applyBorder="1" applyAlignment="1">
      <alignment horizontal="center" vertical="top"/>
      <protection/>
    </xf>
    <xf numFmtId="41" fontId="14" fillId="0" borderId="12" xfId="86" applyFont="1" applyBorder="1" applyAlignment="1">
      <alignment horizontal="center" vertical="top"/>
    </xf>
    <xf numFmtId="10" fontId="14" fillId="0" borderId="12" xfId="137" applyNumberFormat="1" applyFont="1" applyBorder="1" applyAlignment="1">
      <alignment horizontal="center" vertical="top"/>
      <protection/>
    </xf>
    <xf numFmtId="41" fontId="14" fillId="0" borderId="12" xfId="137" applyNumberFormat="1" applyFont="1" applyBorder="1" applyAlignment="1">
      <alignment horizontal="center" vertical="top"/>
      <protection/>
    </xf>
    <xf numFmtId="0" fontId="20" fillId="0" borderId="37" xfId="137" applyFont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67" xfId="0" applyFont="1" applyBorder="1" applyAlignment="1">
      <alignment horizontal="distributed" vertical="center" wrapText="1"/>
    </xf>
    <xf numFmtId="0" fontId="0" fillId="0" borderId="67" xfId="0" applyFont="1" applyBorder="1" applyAlignment="1">
      <alignment horizontal="distributed" vertical="center"/>
    </xf>
    <xf numFmtId="41" fontId="14" fillId="25" borderId="0" xfId="86" applyFont="1" applyFill="1" applyAlignment="1">
      <alignment/>
    </xf>
    <xf numFmtId="177" fontId="5" fillId="25" borderId="26" xfId="86" applyNumberFormat="1" applyFont="1" applyFill="1" applyBorder="1" applyAlignment="1">
      <alignment horizontal="right" vertical="center"/>
    </xf>
    <xf numFmtId="41" fontId="0" fillId="25" borderId="14" xfId="86" applyFont="1" applyFill="1" applyBorder="1" applyAlignment="1">
      <alignment horizontal="distributed" vertical="center"/>
    </xf>
    <xf numFmtId="41" fontId="0" fillId="25" borderId="0" xfId="86" applyFont="1" applyFill="1" applyBorder="1" applyAlignment="1">
      <alignment horizontal="distributed" vertical="center"/>
    </xf>
    <xf numFmtId="41" fontId="0" fillId="25" borderId="0" xfId="86" applyFont="1" applyFill="1" applyAlignment="1">
      <alignment horizontal="distributed" vertical="center"/>
    </xf>
    <xf numFmtId="41" fontId="0" fillId="25" borderId="0" xfId="86" applyFont="1" applyFill="1" applyAlignment="1">
      <alignment vertical="center"/>
    </xf>
    <xf numFmtId="41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68" xfId="0" applyFont="1" applyBorder="1" applyAlignment="1">
      <alignment horizontal="distributed" vertical="center"/>
    </xf>
    <xf numFmtId="177" fontId="9" fillId="0" borderId="23" xfId="86" applyNumberFormat="1" applyFont="1" applyBorder="1" applyAlignment="1">
      <alignment vertical="center"/>
    </xf>
    <xf numFmtId="0" fontId="0" fillId="0" borderId="67" xfId="0" applyFont="1" applyBorder="1" applyAlignment="1">
      <alignment horizontal="distributed" vertical="center"/>
    </xf>
    <xf numFmtId="41" fontId="0" fillId="0" borderId="11" xfId="86" applyFont="1" applyBorder="1" applyAlignment="1">
      <alignment horizontal="center" vertical="center" wrapText="1"/>
    </xf>
    <xf numFmtId="41" fontId="0" fillId="0" borderId="12" xfId="86" applyNumberFormat="1" applyFont="1" applyBorder="1" applyAlignment="1">
      <alignment horizontal="distributed" vertical="center"/>
    </xf>
    <xf numFmtId="41" fontId="5" fillId="25" borderId="12" xfId="86" applyNumberFormat="1" applyFont="1" applyFill="1" applyBorder="1" applyAlignment="1">
      <alignment vertical="center"/>
    </xf>
    <xf numFmtId="41" fontId="0" fillId="0" borderId="66" xfId="86" applyNumberFormat="1" applyFont="1" applyBorder="1" applyAlignment="1">
      <alignment vertical="center"/>
    </xf>
    <xf numFmtId="177" fontId="5" fillId="25" borderId="13" xfId="86" applyNumberFormat="1" applyFont="1" applyFill="1" applyBorder="1" applyAlignment="1">
      <alignment horizontal="right" vertical="center"/>
    </xf>
    <xf numFmtId="177" fontId="5" fillId="0" borderId="69" xfId="86" applyNumberFormat="1" applyFont="1" applyBorder="1" applyAlignment="1">
      <alignment horizontal="right" vertical="center"/>
    </xf>
    <xf numFmtId="177" fontId="0" fillId="0" borderId="19" xfId="86" applyNumberFormat="1" applyFont="1" applyBorder="1" applyAlignment="1">
      <alignment horizontal="right" vertical="center"/>
    </xf>
    <xf numFmtId="177" fontId="5" fillId="25" borderId="19" xfId="86" applyNumberFormat="1" applyFont="1" applyFill="1" applyBorder="1" applyAlignment="1">
      <alignment horizontal="right" vertical="center"/>
    </xf>
    <xf numFmtId="177" fontId="0" fillId="0" borderId="70" xfId="86" applyNumberFormat="1" applyFont="1" applyBorder="1" applyAlignment="1">
      <alignment horizontal="right" vertical="center"/>
    </xf>
    <xf numFmtId="177" fontId="5" fillId="25" borderId="21" xfId="86" applyNumberFormat="1" applyFont="1" applyFill="1" applyBorder="1" applyAlignment="1">
      <alignment horizontal="right" vertical="center"/>
    </xf>
    <xf numFmtId="177" fontId="0" fillId="0" borderId="71" xfId="86" applyNumberFormat="1" applyFont="1" applyBorder="1" applyAlignment="1">
      <alignment horizontal="right" vertical="center"/>
    </xf>
    <xf numFmtId="177" fontId="0" fillId="0" borderId="23" xfId="86" applyNumberFormat="1" applyFont="1" applyBorder="1" applyAlignment="1">
      <alignment horizontal="right" vertical="center"/>
    </xf>
    <xf numFmtId="177" fontId="5" fillId="25" borderId="23" xfId="86" applyNumberFormat="1" applyFont="1" applyFill="1" applyBorder="1" applyAlignment="1">
      <alignment horizontal="right" vertical="center"/>
    </xf>
    <xf numFmtId="177" fontId="0" fillId="0" borderId="72" xfId="86" applyNumberFormat="1" applyFont="1" applyBorder="1" applyAlignment="1">
      <alignment horizontal="right" vertical="center"/>
    </xf>
    <xf numFmtId="177" fontId="0" fillId="0" borderId="24" xfId="86" applyNumberFormat="1" applyFont="1" applyBorder="1" applyAlignment="1">
      <alignment horizontal="right" vertical="center"/>
    </xf>
    <xf numFmtId="177" fontId="5" fillId="25" borderId="24" xfId="86" applyNumberFormat="1" applyFont="1" applyFill="1" applyBorder="1" applyAlignment="1">
      <alignment horizontal="right" vertical="center"/>
    </xf>
    <xf numFmtId="177" fontId="0" fillId="0" borderId="73" xfId="86" applyNumberFormat="1" applyFont="1" applyBorder="1" applyAlignment="1">
      <alignment horizontal="right" vertical="center"/>
    </xf>
    <xf numFmtId="177" fontId="0" fillId="24" borderId="21" xfId="86" applyNumberFormat="1" applyFont="1" applyFill="1" applyBorder="1" applyAlignment="1">
      <alignment horizontal="right" vertical="center"/>
    </xf>
    <xf numFmtId="177" fontId="0" fillId="0" borderId="21" xfId="86" applyNumberFormat="1" applyFont="1" applyBorder="1" applyAlignment="1">
      <alignment horizontal="right" vertical="center"/>
    </xf>
    <xf numFmtId="177" fontId="0" fillId="0" borderId="26" xfId="86" applyNumberFormat="1" applyFont="1" applyBorder="1" applyAlignment="1">
      <alignment horizontal="right" vertical="center"/>
    </xf>
    <xf numFmtId="177" fontId="0" fillId="0" borderId="74" xfId="86" applyNumberFormat="1" applyFont="1" applyBorder="1" applyAlignment="1">
      <alignment horizontal="right" vertical="center"/>
    </xf>
    <xf numFmtId="177" fontId="0" fillId="0" borderId="21" xfId="86" applyNumberFormat="1" applyFont="1" applyBorder="1" applyAlignment="1">
      <alignment horizontal="right" vertical="center" wrapText="1"/>
    </xf>
    <xf numFmtId="177" fontId="0" fillId="25" borderId="23" xfId="86" applyNumberFormat="1" applyFont="1" applyFill="1" applyBorder="1" applyAlignment="1">
      <alignment horizontal="right" vertical="center"/>
    </xf>
    <xf numFmtId="177" fontId="0" fillId="0" borderId="23" xfId="86" applyNumberFormat="1" applyFont="1" applyBorder="1" applyAlignment="1">
      <alignment horizontal="right" vertical="center" wrapText="1"/>
    </xf>
    <xf numFmtId="177" fontId="0" fillId="0" borderId="67" xfId="86" applyNumberFormat="1" applyFont="1" applyBorder="1" applyAlignment="1">
      <alignment horizontal="right" vertical="center"/>
    </xf>
    <xf numFmtId="177" fontId="5" fillId="25" borderId="67" xfId="86" applyNumberFormat="1" applyFont="1" applyFill="1" applyBorder="1" applyAlignment="1">
      <alignment horizontal="right" vertical="center"/>
    </xf>
    <xf numFmtId="177" fontId="5" fillId="24" borderId="67" xfId="86" applyNumberFormat="1" applyFont="1" applyFill="1" applyBorder="1" applyAlignment="1">
      <alignment horizontal="right" vertical="center"/>
    </xf>
    <xf numFmtId="177" fontId="0" fillId="0" borderId="75" xfId="86" applyNumberFormat="1" applyFont="1" applyBorder="1" applyAlignment="1">
      <alignment horizontal="right" vertical="center"/>
    </xf>
    <xf numFmtId="41" fontId="0" fillId="0" borderId="12" xfId="86" applyFont="1" applyBorder="1" applyAlignment="1">
      <alignment horizontal="right" vertical="center"/>
    </xf>
    <xf numFmtId="41" fontId="0" fillId="25" borderId="12" xfId="86" applyFont="1" applyFill="1" applyBorder="1" applyAlignment="1">
      <alignment vertical="center"/>
    </xf>
    <xf numFmtId="41" fontId="0" fillId="24" borderId="13" xfId="86" applyNumberFormat="1" applyFont="1" applyFill="1" applyBorder="1" applyAlignment="1">
      <alignment horizontal="right" vertical="center"/>
    </xf>
    <xf numFmtId="41" fontId="0" fillId="25" borderId="13" xfId="86" applyNumberFormat="1" applyFont="1" applyFill="1" applyBorder="1" applyAlignment="1">
      <alignment vertical="center"/>
    </xf>
    <xf numFmtId="41" fontId="0" fillId="0" borderId="19" xfId="86" applyNumberFormat="1" applyFont="1" applyBorder="1" applyAlignment="1">
      <alignment horizontal="right" vertical="center"/>
    </xf>
    <xf numFmtId="41" fontId="0" fillId="25" borderId="19" xfId="86" applyNumberFormat="1" applyFont="1" applyFill="1" applyBorder="1" applyAlignment="1">
      <alignment vertical="center"/>
    </xf>
    <xf numFmtId="41" fontId="0" fillId="24" borderId="21" xfId="86" applyNumberFormat="1" applyFont="1" applyFill="1" applyBorder="1" applyAlignment="1">
      <alignment horizontal="right" vertical="center"/>
    </xf>
    <xf numFmtId="41" fontId="0" fillId="25" borderId="21" xfId="86" applyNumberFormat="1" applyFont="1" applyFill="1" applyBorder="1" applyAlignment="1">
      <alignment vertical="center"/>
    </xf>
    <xf numFmtId="41" fontId="0" fillId="0" borderId="23" xfId="86" applyNumberFormat="1" applyFont="1" applyBorder="1" applyAlignment="1">
      <alignment horizontal="right" vertical="center"/>
    </xf>
    <xf numFmtId="41" fontId="0" fillId="25" borderId="23" xfId="86" applyNumberFormat="1" applyFont="1" applyFill="1" applyBorder="1" applyAlignment="1">
      <alignment vertical="center"/>
    </xf>
    <xf numFmtId="41" fontId="0" fillId="0" borderId="24" xfId="86" applyNumberFormat="1" applyFont="1" applyBorder="1" applyAlignment="1">
      <alignment horizontal="right" vertical="center"/>
    </xf>
    <xf numFmtId="41" fontId="0" fillId="25" borderId="24" xfId="86" applyNumberFormat="1" applyFont="1" applyFill="1" applyBorder="1" applyAlignment="1">
      <alignment vertical="center"/>
    </xf>
    <xf numFmtId="41" fontId="0" fillId="0" borderId="21" xfId="86" applyNumberFormat="1" applyFont="1" applyBorder="1" applyAlignment="1">
      <alignment horizontal="right" vertical="center"/>
    </xf>
    <xf numFmtId="41" fontId="0" fillId="0" borderId="26" xfId="86" applyNumberFormat="1" applyFont="1" applyBorder="1" applyAlignment="1">
      <alignment horizontal="right" vertical="center"/>
    </xf>
    <xf numFmtId="41" fontId="0" fillId="25" borderId="26" xfId="86" applyNumberFormat="1" applyFont="1" applyFill="1" applyBorder="1" applyAlignment="1">
      <alignment vertical="center"/>
    </xf>
    <xf numFmtId="41" fontId="0" fillId="25" borderId="24" xfId="0" applyNumberFormat="1" applyFont="1" applyFill="1" applyBorder="1" applyAlignment="1">
      <alignment horizontal="center" vertical="center"/>
    </xf>
    <xf numFmtId="41" fontId="0" fillId="25" borderId="24" xfId="0" applyNumberFormat="1" applyFont="1" applyFill="1" applyBorder="1" applyAlignment="1">
      <alignment vertical="center"/>
    </xf>
    <xf numFmtId="41" fontId="0" fillId="24" borderId="23" xfId="86" applyNumberFormat="1" applyFont="1" applyFill="1" applyBorder="1" applyAlignment="1">
      <alignment horizontal="right" vertical="center"/>
    </xf>
    <xf numFmtId="41" fontId="0" fillId="0" borderId="21" xfId="86" applyNumberFormat="1" applyFont="1" applyBorder="1" applyAlignment="1">
      <alignment horizontal="right" vertical="center" wrapText="1"/>
    </xf>
    <xf numFmtId="41" fontId="0" fillId="0" borderId="32" xfId="86" applyNumberFormat="1" applyFont="1" applyBorder="1" applyAlignment="1">
      <alignment horizontal="right" vertical="center"/>
    </xf>
    <xf numFmtId="41" fontId="0" fillId="25" borderId="23" xfId="0" applyNumberFormat="1" applyFont="1" applyFill="1" applyBorder="1" applyAlignment="1">
      <alignment vertical="center"/>
    </xf>
    <xf numFmtId="41" fontId="0" fillId="0" borderId="23" xfId="86" applyNumberFormat="1" applyFont="1" applyBorder="1" applyAlignment="1">
      <alignment horizontal="right" vertical="center" wrapText="1"/>
    </xf>
    <xf numFmtId="177" fontId="0" fillId="0" borderId="12" xfId="86" applyNumberFormat="1" applyFont="1" applyBorder="1" applyAlignment="1">
      <alignment vertical="center"/>
    </xf>
    <xf numFmtId="177" fontId="5" fillId="0" borderId="13" xfId="86" applyNumberFormat="1" applyFont="1" applyBorder="1" applyAlignment="1">
      <alignment vertical="center"/>
    </xf>
    <xf numFmtId="177" fontId="0" fillId="0" borderId="19" xfId="86" applyNumberFormat="1" applyFont="1" applyBorder="1" applyAlignment="1">
      <alignment vertical="center"/>
    </xf>
    <xf numFmtId="177" fontId="0" fillId="0" borderId="21" xfId="86" applyNumberFormat="1" applyFont="1" applyBorder="1" applyAlignment="1">
      <alignment vertical="center"/>
    </xf>
    <xf numFmtId="177" fontId="0" fillId="0" borderId="23" xfId="86" applyNumberFormat="1" applyFont="1" applyBorder="1" applyAlignment="1">
      <alignment vertical="center"/>
    </xf>
    <xf numFmtId="177" fontId="0" fillId="0" borderId="24" xfId="86" applyNumberFormat="1" applyFont="1" applyBorder="1" applyAlignment="1">
      <alignment vertical="center"/>
    </xf>
    <xf numFmtId="177" fontId="0" fillId="0" borderId="26" xfId="86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vertical="center"/>
    </xf>
    <xf numFmtId="177" fontId="0" fillId="0" borderId="32" xfId="86" applyNumberFormat="1" applyFont="1" applyBorder="1" applyAlignment="1">
      <alignment vertical="center"/>
    </xf>
    <xf numFmtId="177" fontId="0" fillId="0" borderId="67" xfId="86" applyNumberFormat="1" applyFont="1" applyBorder="1" applyAlignment="1">
      <alignment vertical="center"/>
    </xf>
    <xf numFmtId="177" fontId="0" fillId="0" borderId="68" xfId="86" applyNumberFormat="1" applyFont="1" applyBorder="1" applyAlignment="1">
      <alignment vertical="center"/>
    </xf>
    <xf numFmtId="0" fontId="0" fillId="0" borderId="76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 wrapText="1"/>
    </xf>
    <xf numFmtId="0" fontId="0" fillId="0" borderId="67" xfId="0" applyFont="1" applyBorder="1" applyAlignment="1">
      <alignment horizontal="distributed" vertical="center" wrapText="1"/>
    </xf>
    <xf numFmtId="41" fontId="0" fillId="0" borderId="12" xfId="86" applyFont="1" applyBorder="1" applyAlignment="1">
      <alignment vertical="center"/>
    </xf>
    <xf numFmtId="41" fontId="0" fillId="0" borderId="19" xfId="86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77" fontId="0" fillId="0" borderId="13" xfId="86" applyNumberFormat="1" applyFont="1" applyBorder="1" applyAlignment="1">
      <alignment vertical="center"/>
    </xf>
    <xf numFmtId="0" fontId="0" fillId="0" borderId="76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48" fillId="0" borderId="35" xfId="0" applyFont="1" applyBorder="1" applyAlignment="1">
      <alignment horizontal="center" vertical="center"/>
    </xf>
    <xf numFmtId="177" fontId="6" fillId="0" borderId="61" xfId="86" applyNumberFormat="1" applyFont="1" applyFill="1" applyBorder="1" applyAlignment="1">
      <alignment horizontal="right" vertical="center"/>
    </xf>
    <xf numFmtId="177" fontId="0" fillId="0" borderId="66" xfId="86" applyNumberFormat="1" applyFont="1" applyBorder="1" applyAlignment="1">
      <alignment vertical="center"/>
    </xf>
    <xf numFmtId="177" fontId="0" fillId="0" borderId="69" xfId="86" applyNumberFormat="1" applyFont="1" applyBorder="1" applyAlignment="1">
      <alignment vertical="center"/>
    </xf>
    <xf numFmtId="177" fontId="0" fillId="0" borderId="70" xfId="86" applyNumberFormat="1" applyFont="1" applyBorder="1" applyAlignment="1">
      <alignment vertical="center"/>
    </xf>
    <xf numFmtId="177" fontId="0" fillId="0" borderId="71" xfId="86" applyNumberFormat="1" applyFont="1" applyBorder="1" applyAlignment="1">
      <alignment vertical="center"/>
    </xf>
    <xf numFmtId="177" fontId="0" fillId="0" borderId="72" xfId="86" applyNumberFormat="1" applyFont="1" applyBorder="1" applyAlignment="1">
      <alignment vertical="center"/>
    </xf>
    <xf numFmtId="177" fontId="0" fillId="0" borderId="73" xfId="86" applyNumberFormat="1" applyFont="1" applyBorder="1" applyAlignment="1">
      <alignment vertical="center"/>
    </xf>
    <xf numFmtId="177" fontId="0" fillId="0" borderId="74" xfId="86" applyNumberFormat="1" applyFont="1" applyBorder="1" applyAlignment="1">
      <alignment vertical="center"/>
    </xf>
    <xf numFmtId="177" fontId="0" fillId="0" borderId="73" xfId="0" applyNumberFormat="1" applyFont="1" applyBorder="1" applyAlignment="1">
      <alignment horizontal="center" vertical="center"/>
    </xf>
    <xf numFmtId="177" fontId="0" fillId="0" borderId="73" xfId="0" applyNumberFormat="1" applyFont="1" applyBorder="1" applyAlignment="1">
      <alignment vertical="center"/>
    </xf>
    <xf numFmtId="177" fontId="0" fillId="0" borderId="72" xfId="0" applyNumberFormat="1" applyFont="1" applyBorder="1" applyAlignment="1">
      <alignment vertical="center"/>
    </xf>
    <xf numFmtId="177" fontId="0" fillId="0" borderId="0" xfId="86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7" xfId="0" applyFont="1" applyBorder="1" applyAlignment="1">
      <alignment horizontal="distributed" vertical="center" wrapText="1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distributed" vertical="center"/>
    </xf>
    <xf numFmtId="177" fontId="0" fillId="0" borderId="80" xfId="86" applyNumberFormat="1" applyFont="1" applyBorder="1" applyAlignment="1">
      <alignment vertical="center"/>
    </xf>
    <xf numFmtId="0" fontId="0" fillId="0" borderId="6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6" xfId="0" applyBorder="1" applyAlignment="1">
      <alignment horizontal="left" vertical="center"/>
    </xf>
    <xf numFmtId="41" fontId="0" fillId="25" borderId="11" xfId="86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81" xfId="0" applyFont="1" applyBorder="1" applyAlignment="1">
      <alignment horizontal="distributed" vertical="center"/>
    </xf>
    <xf numFmtId="0" fontId="0" fillId="0" borderId="82" xfId="0" applyFont="1" applyBorder="1" applyAlignment="1">
      <alignment horizontal="distributed" vertical="center"/>
    </xf>
    <xf numFmtId="177" fontId="0" fillId="0" borderId="68" xfId="86" applyNumberFormat="1" applyFont="1" applyBorder="1" applyAlignment="1">
      <alignment horizontal="right" vertical="center"/>
    </xf>
    <xf numFmtId="177" fontId="5" fillId="25" borderId="68" xfId="86" applyNumberFormat="1" applyFont="1" applyFill="1" applyBorder="1" applyAlignment="1">
      <alignment horizontal="right" vertical="center"/>
    </xf>
    <xf numFmtId="177" fontId="0" fillId="0" borderId="83" xfId="86" applyNumberFormat="1" applyFont="1" applyBorder="1" applyAlignment="1">
      <alignment horizontal="right" vertical="center"/>
    </xf>
    <xf numFmtId="177" fontId="0" fillId="0" borderId="67" xfId="86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77" xfId="0" applyFont="1" applyBorder="1" applyAlignment="1">
      <alignment horizontal="distributed" vertical="center"/>
    </xf>
    <xf numFmtId="41" fontId="0" fillId="25" borderId="77" xfId="86" applyNumberFormat="1" applyFont="1" applyFill="1" applyBorder="1" applyAlignment="1">
      <alignment vertical="center"/>
    </xf>
    <xf numFmtId="41" fontId="0" fillId="24" borderId="77" xfId="86" applyNumberFormat="1" applyFont="1" applyFill="1" applyBorder="1" applyAlignment="1">
      <alignment horizontal="right" vertical="center"/>
    </xf>
    <xf numFmtId="177" fontId="0" fillId="0" borderId="84" xfId="86" applyNumberFormat="1" applyFont="1" applyBorder="1" applyAlignment="1">
      <alignment vertical="center"/>
    </xf>
    <xf numFmtId="41" fontId="0" fillId="0" borderId="77" xfId="86" applyNumberFormat="1" applyFont="1" applyBorder="1" applyAlignment="1">
      <alignment horizontal="right" vertical="center"/>
    </xf>
    <xf numFmtId="0" fontId="0" fillId="0" borderId="85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0" fillId="0" borderId="77" xfId="0" applyFont="1" applyBorder="1" applyAlignment="1">
      <alignment horizontal="distributed" vertical="center" wrapText="1"/>
    </xf>
    <xf numFmtId="41" fontId="0" fillId="0" borderId="77" xfId="86" applyNumberFormat="1" applyFont="1" applyBorder="1" applyAlignment="1">
      <alignment horizontal="right" vertical="center" wrapText="1"/>
    </xf>
    <xf numFmtId="41" fontId="0" fillId="0" borderId="0" xfId="96" applyFont="1" applyAlignment="1">
      <alignment vertical="center"/>
    </xf>
    <xf numFmtId="41" fontId="47" fillId="0" borderId="0" xfId="96" applyFont="1" applyAlignment="1">
      <alignment vertical="center"/>
    </xf>
    <xf numFmtId="41" fontId="47" fillId="0" borderId="0" xfId="96" applyFont="1" applyFill="1" applyAlignment="1">
      <alignment vertical="center"/>
    </xf>
    <xf numFmtId="41" fontId="0" fillId="0" borderId="0" xfId="96" applyFont="1" applyFill="1" applyAlignment="1">
      <alignment vertical="center"/>
    </xf>
    <xf numFmtId="0" fontId="0" fillId="0" borderId="86" xfId="0" applyBorder="1" applyAlignment="1">
      <alignment horizontal="distributed" vertical="center"/>
    </xf>
    <xf numFmtId="0" fontId="0" fillId="0" borderId="87" xfId="0" applyBorder="1" applyAlignment="1">
      <alignment horizontal="distributed" vertical="center"/>
    </xf>
    <xf numFmtId="0" fontId="0" fillId="0" borderId="87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6" fillId="25" borderId="0" xfId="86" applyFont="1" applyFill="1" applyAlignment="1">
      <alignment horizontal="right" vertical="center"/>
    </xf>
    <xf numFmtId="178" fontId="20" fillId="0" borderId="35" xfId="138" applyNumberFormat="1" applyFont="1" applyBorder="1" applyAlignment="1">
      <alignment horizontal="center" vertical="center" wrapText="1"/>
      <protection/>
    </xf>
    <xf numFmtId="178" fontId="20" fillId="0" borderId="35" xfId="138" applyNumberFormat="1" applyFont="1" applyBorder="1" applyAlignment="1">
      <alignment horizontal="center" vertical="center"/>
      <protection/>
    </xf>
    <xf numFmtId="0" fontId="14" fillId="0" borderId="0" xfId="138" applyFont="1">
      <alignment/>
      <protection/>
    </xf>
    <xf numFmtId="0" fontId="45" fillId="0" borderId="0" xfId="138" applyFont="1" applyAlignment="1">
      <alignment horizontal="centerContinuous" vertical="center"/>
      <protection/>
    </xf>
    <xf numFmtId="178" fontId="20" fillId="0" borderId="37" xfId="138" applyNumberFormat="1" applyFont="1" applyBorder="1" applyAlignment="1">
      <alignment horizontal="center" vertical="center"/>
      <protection/>
    </xf>
    <xf numFmtId="178" fontId="22" fillId="0" borderId="35" xfId="138" applyNumberFormat="1" applyFont="1" applyBorder="1" applyAlignment="1">
      <alignment horizontal="center" vertical="center"/>
      <protection/>
    </xf>
    <xf numFmtId="178" fontId="20" fillId="0" borderId="12" xfId="138" applyNumberFormat="1" applyFont="1" applyBorder="1" applyAlignment="1">
      <alignment horizontal="center" vertical="center"/>
      <protection/>
    </xf>
    <xf numFmtId="178" fontId="20" fillId="0" borderId="52" xfId="138" applyNumberFormat="1" applyFont="1" applyBorder="1" applyAlignment="1">
      <alignment horizontal="center" vertical="center"/>
      <protection/>
    </xf>
    <xf numFmtId="178" fontId="22" fillId="0" borderId="52" xfId="138" applyNumberFormat="1" applyFont="1" applyBorder="1" applyAlignment="1">
      <alignment horizontal="center" vertical="center"/>
      <protection/>
    </xf>
    <xf numFmtId="41" fontId="0" fillId="0" borderId="0" xfId="86" applyFont="1" applyFill="1" applyAlignment="1">
      <alignment vertical="center"/>
    </xf>
    <xf numFmtId="0" fontId="0" fillId="0" borderId="0" xfId="140" applyAlignment="1">
      <alignment vertical="center"/>
      <protection/>
    </xf>
    <xf numFmtId="0" fontId="71" fillId="0" borderId="0" xfId="140" applyFont="1" applyAlignment="1">
      <alignment vertical="center"/>
      <protection/>
    </xf>
    <xf numFmtId="177" fontId="5" fillId="0" borderId="0" xfId="140" applyNumberFormat="1" applyFont="1" applyAlignment="1">
      <alignment vertical="center"/>
      <protection/>
    </xf>
    <xf numFmtId="177" fontId="5" fillId="24" borderId="0" xfId="140" applyNumberFormat="1" applyFont="1" applyFill="1" applyAlignment="1">
      <alignment vertical="center"/>
      <protection/>
    </xf>
    <xf numFmtId="0" fontId="4" fillId="0" borderId="0" xfId="140" applyFont="1" applyAlignment="1">
      <alignment horizontal="right" vertical="center"/>
      <protection/>
    </xf>
    <xf numFmtId="0" fontId="0" fillId="0" borderId="15" xfId="140" applyBorder="1" applyAlignment="1">
      <alignment horizontal="center" vertical="center"/>
      <protection/>
    </xf>
    <xf numFmtId="0" fontId="0" fillId="0" borderId="16" xfId="140" applyBorder="1" applyAlignment="1">
      <alignment horizontal="center" vertical="center"/>
      <protection/>
    </xf>
    <xf numFmtId="0" fontId="0" fillId="0" borderId="17" xfId="140" applyBorder="1" applyAlignment="1">
      <alignment horizontal="center" vertical="center"/>
      <protection/>
    </xf>
    <xf numFmtId="41" fontId="5" fillId="22" borderId="88" xfId="87" applyFont="1" applyFill="1" applyBorder="1" applyAlignment="1">
      <alignment horizontal="center" vertical="center"/>
    </xf>
    <xf numFmtId="177" fontId="0" fillId="0" borderId="89" xfId="140" applyNumberFormat="1" applyFont="1" applyBorder="1" applyAlignment="1">
      <alignment horizontal="center" vertical="center"/>
      <protection/>
    </xf>
    <xf numFmtId="0" fontId="0" fillId="0" borderId="0" xfId="140" applyAlignment="1">
      <alignment horizontal="center" vertical="center"/>
      <protection/>
    </xf>
    <xf numFmtId="0" fontId="0" fillId="0" borderId="90" xfId="140" applyBorder="1" applyAlignment="1">
      <alignment horizontal="center" vertical="center"/>
      <protection/>
    </xf>
    <xf numFmtId="0" fontId="0" fillId="0" borderId="13" xfId="140" applyBorder="1" applyAlignment="1">
      <alignment horizontal="center" vertical="center"/>
      <protection/>
    </xf>
    <xf numFmtId="177" fontId="54" fillId="22" borderId="91" xfId="140" applyNumberFormat="1" applyFont="1" applyFill="1" applyBorder="1" applyAlignment="1">
      <alignment horizontal="center" vertical="center"/>
      <protection/>
    </xf>
    <xf numFmtId="177" fontId="0" fillId="24" borderId="13" xfId="140" applyNumberFormat="1" applyFont="1" applyFill="1" applyBorder="1" applyAlignment="1">
      <alignment horizontal="center" vertical="center"/>
      <protection/>
    </xf>
    <xf numFmtId="177" fontId="0" fillId="0" borderId="13" xfId="87" applyNumberFormat="1" applyFont="1" applyBorder="1" applyAlignment="1">
      <alignment horizontal="center" vertical="center"/>
    </xf>
    <xf numFmtId="177" fontId="0" fillId="0" borderId="13" xfId="140" applyNumberFormat="1" applyFont="1" applyBorder="1" applyAlignment="1">
      <alignment horizontal="center" vertical="center"/>
      <protection/>
    </xf>
    <xf numFmtId="177" fontId="0" fillId="22" borderId="13" xfId="140" applyNumberFormat="1" applyFont="1" applyFill="1" applyBorder="1" applyAlignment="1">
      <alignment horizontal="center" vertical="center"/>
      <protection/>
    </xf>
    <xf numFmtId="177" fontId="55" fillId="0" borderId="13" xfId="140" applyNumberFormat="1" applyFont="1" applyBorder="1" applyAlignment="1">
      <alignment horizontal="center" vertical="center"/>
      <protection/>
    </xf>
    <xf numFmtId="0" fontId="0" fillId="0" borderId="10" xfId="140" applyFont="1" applyBorder="1" applyAlignment="1">
      <alignment horizontal="distributed" vertical="center"/>
      <protection/>
    </xf>
    <xf numFmtId="0" fontId="0" fillId="0" borderId="11" xfId="140" applyBorder="1" applyAlignment="1">
      <alignment horizontal="distributed" vertical="center"/>
      <protection/>
    </xf>
    <xf numFmtId="177" fontId="5" fillId="26" borderId="11" xfId="87" applyNumberFormat="1" applyFont="1" applyFill="1" applyBorder="1" applyAlignment="1">
      <alignment vertical="center"/>
    </xf>
    <xf numFmtId="177" fontId="5" fillId="24" borderId="11" xfId="87" applyNumberFormat="1" applyFont="1" applyFill="1" applyBorder="1" applyAlignment="1">
      <alignment vertical="center"/>
    </xf>
    <xf numFmtId="177" fontId="5" fillId="0" borderId="11" xfId="87" applyNumberFormat="1" applyFont="1" applyBorder="1" applyAlignment="1">
      <alignment vertical="center"/>
    </xf>
    <xf numFmtId="177" fontId="5" fillId="0" borderId="92" xfId="87" applyNumberFormat="1" applyFont="1" applyBorder="1" applyAlignment="1">
      <alignment vertical="center"/>
    </xf>
    <xf numFmtId="41" fontId="0" fillId="0" borderId="93" xfId="140" applyNumberFormat="1" applyFont="1" applyBorder="1" applyAlignment="1">
      <alignment vertical="center"/>
      <protection/>
    </xf>
    <xf numFmtId="0" fontId="0" fillId="0" borderId="65" xfId="140" applyFont="1" applyBorder="1" applyAlignment="1">
      <alignment horizontal="distributed" vertical="center"/>
      <protection/>
    </xf>
    <xf numFmtId="0" fontId="0" fillId="0" borderId="52" xfId="140" applyBorder="1" applyAlignment="1">
      <alignment horizontal="distributed" vertical="center"/>
      <protection/>
    </xf>
    <xf numFmtId="177" fontId="5" fillId="26" borderId="43" xfId="87" applyNumberFormat="1" applyFont="1" applyFill="1" applyBorder="1" applyAlignment="1">
      <alignment vertical="center"/>
    </xf>
    <xf numFmtId="177" fontId="5" fillId="24" borderId="43" xfId="87" applyNumberFormat="1" applyFont="1" applyFill="1" applyBorder="1" applyAlignment="1">
      <alignment vertical="center"/>
    </xf>
    <xf numFmtId="177" fontId="5" fillId="0" borderId="43" xfId="87" applyNumberFormat="1" applyFont="1" applyBorder="1" applyAlignment="1">
      <alignment vertical="center"/>
    </xf>
    <xf numFmtId="177" fontId="5" fillId="0" borderId="12" xfId="87" applyNumberFormat="1" applyFont="1" applyBorder="1" applyAlignment="1">
      <alignment vertical="center"/>
    </xf>
    <xf numFmtId="0" fontId="56" fillId="0" borderId="94" xfId="140" applyFont="1" applyBorder="1" applyAlignment="1">
      <alignment vertical="center"/>
      <protection/>
    </xf>
    <xf numFmtId="0" fontId="0" fillId="0" borderId="65" xfId="140" applyBorder="1" applyAlignment="1">
      <alignment horizontal="distributed" vertical="center"/>
      <protection/>
    </xf>
    <xf numFmtId="0" fontId="0" fillId="0" borderId="12" xfId="140" applyBorder="1" applyAlignment="1">
      <alignment horizontal="distributed" vertical="center"/>
      <protection/>
    </xf>
    <xf numFmtId="177" fontId="5" fillId="26" borderId="35" xfId="87" applyNumberFormat="1" applyFont="1" applyFill="1" applyBorder="1" applyAlignment="1">
      <alignment vertical="center"/>
    </xf>
    <xf numFmtId="177" fontId="5" fillId="24" borderId="35" xfId="87" applyNumberFormat="1" applyFont="1" applyFill="1" applyBorder="1" applyAlignment="1">
      <alignment vertical="center"/>
    </xf>
    <xf numFmtId="177" fontId="5" fillId="0" borderId="37" xfId="87" applyNumberFormat="1" applyFont="1" applyBorder="1" applyAlignment="1">
      <alignment vertical="center"/>
    </xf>
    <xf numFmtId="0" fontId="6" fillId="0" borderId="36" xfId="140" applyFont="1" applyBorder="1" applyAlignment="1">
      <alignment vertical="center"/>
      <protection/>
    </xf>
    <xf numFmtId="0" fontId="0" fillId="0" borderId="37" xfId="140" applyBorder="1" applyAlignment="1">
      <alignment horizontal="distributed" vertical="center"/>
      <protection/>
    </xf>
    <xf numFmtId="177" fontId="9" fillId="24" borderId="35" xfId="87" applyNumberFormat="1" applyFont="1" applyFill="1" applyBorder="1" applyAlignment="1">
      <alignment vertical="center"/>
    </xf>
    <xf numFmtId="177" fontId="0" fillId="0" borderId="35" xfId="87" applyNumberFormat="1" applyBorder="1" applyAlignment="1">
      <alignment vertical="center"/>
    </xf>
    <xf numFmtId="177" fontId="0" fillId="0" borderId="35" xfId="140" applyNumberFormat="1" applyBorder="1" applyAlignment="1">
      <alignment vertical="center"/>
      <protection/>
    </xf>
    <xf numFmtId="0" fontId="0" fillId="0" borderId="35" xfId="140" applyBorder="1" applyAlignment="1">
      <alignment horizontal="distributed" vertical="center"/>
      <protection/>
    </xf>
    <xf numFmtId="177" fontId="5" fillId="0" borderId="35" xfId="87" applyNumberFormat="1" applyFont="1" applyBorder="1" applyAlignment="1">
      <alignment vertical="center"/>
    </xf>
    <xf numFmtId="0" fontId="56" fillId="0" borderId="36" xfId="140" applyFont="1" applyBorder="1" applyAlignment="1">
      <alignment vertical="center"/>
      <protection/>
    </xf>
    <xf numFmtId="0" fontId="0" fillId="0" borderId="10" xfId="140" applyBorder="1" applyAlignment="1">
      <alignment horizontal="distributed" vertical="center"/>
      <protection/>
    </xf>
    <xf numFmtId="177" fontId="5" fillId="26" borderId="38" xfId="87" applyNumberFormat="1" applyFont="1" applyFill="1" applyBorder="1" applyAlignment="1">
      <alignment vertical="center"/>
    </xf>
    <xf numFmtId="177" fontId="5" fillId="24" borderId="38" xfId="140" applyNumberFormat="1" applyFont="1" applyFill="1" applyBorder="1" applyAlignment="1">
      <alignment vertical="center"/>
      <protection/>
    </xf>
    <xf numFmtId="177" fontId="57" fillId="24" borderId="38" xfId="87" applyNumberFormat="1" applyFont="1" applyFill="1" applyBorder="1" applyAlignment="1">
      <alignment vertical="center"/>
    </xf>
    <xf numFmtId="177" fontId="0" fillId="0" borderId="38" xfId="140" applyNumberFormat="1" applyBorder="1" applyAlignment="1">
      <alignment vertical="center"/>
      <protection/>
    </xf>
    <xf numFmtId="177" fontId="5" fillId="0" borderId="38" xfId="87" applyNumberFormat="1" applyFont="1" applyBorder="1" applyAlignment="1">
      <alignment vertical="center"/>
    </xf>
    <xf numFmtId="0" fontId="56" fillId="0" borderId="93" xfId="140" applyFont="1" applyBorder="1" applyAlignment="1">
      <alignment vertical="center"/>
      <protection/>
    </xf>
    <xf numFmtId="177" fontId="5" fillId="26" borderId="52" xfId="87" applyNumberFormat="1" applyFont="1" applyFill="1" applyBorder="1" applyAlignment="1">
      <alignment vertical="center"/>
    </xf>
    <xf numFmtId="177" fontId="5" fillId="24" borderId="52" xfId="87" applyNumberFormat="1" applyFont="1" applyFill="1" applyBorder="1" applyAlignment="1">
      <alignment vertical="center"/>
    </xf>
    <xf numFmtId="177" fontId="5" fillId="0" borderId="52" xfId="87" applyNumberFormat="1" applyFont="1" applyBorder="1" applyAlignment="1">
      <alignment vertical="center"/>
    </xf>
    <xf numFmtId="177" fontId="9" fillId="0" borderId="35" xfId="87" applyNumberFormat="1" applyFont="1" applyBorder="1" applyAlignment="1">
      <alignment vertical="center"/>
    </xf>
    <xf numFmtId="177" fontId="0" fillId="4" borderId="35" xfId="87" applyNumberFormat="1" applyFont="1" applyFill="1" applyBorder="1" applyAlignment="1">
      <alignment vertical="center"/>
    </xf>
    <xf numFmtId="0" fontId="56" fillId="0" borderId="36" xfId="140" applyFont="1" applyBorder="1" applyAlignment="1">
      <alignment vertical="center" wrapText="1"/>
      <protection/>
    </xf>
    <xf numFmtId="0" fontId="56" fillId="0" borderId="62" xfId="140" applyFont="1" applyBorder="1" applyAlignment="1">
      <alignment vertical="center"/>
      <protection/>
    </xf>
    <xf numFmtId="177" fontId="57" fillId="0" borderId="35" xfId="87" applyNumberFormat="1" applyFont="1" applyBorder="1" applyAlignment="1">
      <alignment vertical="center"/>
    </xf>
    <xf numFmtId="177" fontId="5" fillId="26" borderId="37" xfId="87" applyNumberFormat="1" applyFont="1" applyFill="1" applyBorder="1" applyAlignment="1">
      <alignment vertical="center"/>
    </xf>
    <xf numFmtId="177" fontId="5" fillId="24" borderId="37" xfId="87" applyNumberFormat="1" applyFont="1" applyFill="1" applyBorder="1" applyAlignment="1">
      <alignment vertical="center"/>
    </xf>
    <xf numFmtId="177" fontId="0" fillId="0" borderId="37" xfId="87" applyNumberFormat="1" applyBorder="1" applyAlignment="1">
      <alignment vertical="center"/>
    </xf>
    <xf numFmtId="177" fontId="0" fillId="0" borderId="37" xfId="140" applyNumberFormat="1" applyBorder="1" applyAlignment="1">
      <alignment vertical="center"/>
      <protection/>
    </xf>
    <xf numFmtId="177" fontId="5" fillId="24" borderId="38" xfId="87" applyNumberFormat="1" applyFont="1" applyFill="1" applyBorder="1" applyAlignment="1">
      <alignment vertical="center"/>
    </xf>
    <xf numFmtId="0" fontId="56" fillId="0" borderId="39" xfId="140" applyFont="1" applyBorder="1" applyAlignment="1">
      <alignment vertical="center"/>
      <protection/>
    </xf>
    <xf numFmtId="0" fontId="58" fillId="0" borderId="36" xfId="140" applyFont="1" applyBorder="1" applyAlignment="1">
      <alignment vertical="center"/>
      <protection/>
    </xf>
    <xf numFmtId="0" fontId="58" fillId="0" borderId="62" xfId="140" applyFont="1" applyBorder="1" applyAlignment="1">
      <alignment vertical="center"/>
      <protection/>
    </xf>
    <xf numFmtId="0" fontId="0" fillId="0" borderId="37" xfId="140" applyBorder="1" applyAlignment="1">
      <alignment horizontal="distributed" vertical="center" wrapText="1"/>
      <protection/>
    </xf>
    <xf numFmtId="0" fontId="0" fillId="0" borderId="12" xfId="140" applyBorder="1" applyAlignment="1">
      <alignment horizontal="distributed" vertical="center" wrapText="1"/>
      <protection/>
    </xf>
    <xf numFmtId="177" fontId="9" fillId="0" borderId="38" xfId="87" applyNumberFormat="1" applyFont="1" applyBorder="1" applyAlignment="1">
      <alignment vertical="center"/>
    </xf>
    <xf numFmtId="177" fontId="57" fillId="24" borderId="35" xfId="87" applyNumberFormat="1" applyFont="1" applyFill="1" applyBorder="1" applyAlignment="1">
      <alignment vertical="center"/>
    </xf>
    <xf numFmtId="177" fontId="0" fillId="0" borderId="38" xfId="87" applyNumberFormat="1" applyBorder="1" applyAlignment="1">
      <alignment vertical="center"/>
    </xf>
    <xf numFmtId="0" fontId="56" fillId="0" borderId="93" xfId="140" applyFont="1" applyBorder="1" applyAlignment="1">
      <alignment vertical="center" wrapText="1"/>
      <protection/>
    </xf>
    <xf numFmtId="177" fontId="5" fillId="26" borderId="95" xfId="87" applyNumberFormat="1" applyFont="1" applyFill="1" applyBorder="1" applyAlignment="1">
      <alignment vertical="center"/>
    </xf>
    <xf numFmtId="177" fontId="5" fillId="24" borderId="95" xfId="87" applyNumberFormat="1" applyFont="1" applyFill="1" applyBorder="1" applyAlignment="1">
      <alignment vertical="center"/>
    </xf>
    <xf numFmtId="0" fontId="58" fillId="0" borderId="94" xfId="140" applyFont="1" applyBorder="1" applyAlignment="1">
      <alignment vertical="center"/>
      <protection/>
    </xf>
    <xf numFmtId="0" fontId="0" fillId="0" borderId="12" xfId="140" applyFont="1" applyBorder="1" applyAlignment="1">
      <alignment horizontal="distributed" vertical="center" wrapText="1"/>
      <protection/>
    </xf>
    <xf numFmtId="177" fontId="9" fillId="27" borderId="35" xfId="87" applyNumberFormat="1" applyFont="1" applyFill="1" applyBorder="1" applyAlignment="1">
      <alignment vertical="center"/>
    </xf>
    <xf numFmtId="177" fontId="0" fillId="25" borderId="35" xfId="87" applyNumberFormat="1" applyFill="1" applyBorder="1" applyAlignment="1">
      <alignment vertical="center"/>
    </xf>
    <xf numFmtId="177" fontId="0" fillId="25" borderId="38" xfId="87" applyNumberFormat="1" applyFont="1" applyFill="1" applyBorder="1" applyAlignment="1">
      <alignment vertical="center"/>
    </xf>
    <xf numFmtId="177" fontId="0" fillId="0" borderId="11" xfId="140" applyNumberFormat="1" applyBorder="1" applyAlignment="1">
      <alignment vertical="center"/>
      <protection/>
    </xf>
    <xf numFmtId="0" fontId="58" fillId="0" borderId="93" xfId="140" applyFont="1" applyBorder="1" applyAlignment="1">
      <alignment vertical="center"/>
      <protection/>
    </xf>
    <xf numFmtId="0" fontId="0" fillId="0" borderId="65" xfId="140" applyBorder="1" applyAlignment="1">
      <alignment horizontal="distributed" vertical="center" wrapText="1"/>
      <protection/>
    </xf>
    <xf numFmtId="0" fontId="0" fillId="0" borderId="96" xfId="140" applyBorder="1" applyAlignment="1">
      <alignment horizontal="distributed" vertical="center"/>
      <protection/>
    </xf>
    <xf numFmtId="0" fontId="0" fillId="0" borderId="89" xfId="139" applyFont="1" applyBorder="1" applyAlignment="1">
      <alignment horizontal="distributed" vertical="center"/>
      <protection/>
    </xf>
    <xf numFmtId="177" fontId="5" fillId="26" borderId="12" xfId="87" applyNumberFormat="1" applyFont="1" applyFill="1" applyBorder="1" applyAlignment="1">
      <alignment vertical="center"/>
    </xf>
    <xf numFmtId="177" fontId="5" fillId="24" borderId="12" xfId="87" applyNumberFormat="1" applyFont="1" applyFill="1" applyBorder="1" applyAlignment="1">
      <alignment vertical="center"/>
    </xf>
    <xf numFmtId="0" fontId="58" fillId="0" borderId="66" xfId="140" applyFont="1" applyBorder="1" applyAlignment="1">
      <alignment vertical="center"/>
      <protection/>
    </xf>
    <xf numFmtId="0" fontId="0" fillId="0" borderId="35" xfId="139" applyFont="1" applyBorder="1" applyAlignment="1">
      <alignment horizontal="distributed" vertical="center"/>
      <protection/>
    </xf>
    <xf numFmtId="0" fontId="0" fillId="0" borderId="35" xfId="139" applyBorder="1" applyAlignment="1">
      <alignment horizontal="distributed" vertical="center"/>
      <protection/>
    </xf>
    <xf numFmtId="0" fontId="0" fillId="0" borderId="65" xfId="140" applyBorder="1" applyAlignment="1">
      <alignment vertical="center"/>
      <protection/>
    </xf>
    <xf numFmtId="0" fontId="0" fillId="0" borderId="38" xfId="140" applyBorder="1" applyAlignment="1">
      <alignment horizontal="distributed" vertical="center"/>
      <protection/>
    </xf>
    <xf numFmtId="0" fontId="58" fillId="0" borderId="39" xfId="140" applyFont="1" applyBorder="1" applyAlignment="1">
      <alignment vertical="center"/>
      <protection/>
    </xf>
    <xf numFmtId="0" fontId="0" fillId="0" borderId="57" xfId="140" applyBorder="1" applyAlignment="1">
      <alignment horizontal="distributed" vertical="center"/>
      <protection/>
    </xf>
    <xf numFmtId="0" fontId="0" fillId="0" borderId="58" xfId="140" applyBorder="1" applyAlignment="1">
      <alignment horizontal="distributed" vertical="center"/>
      <protection/>
    </xf>
    <xf numFmtId="177" fontId="5" fillId="22" borderId="58" xfId="87" applyNumberFormat="1" applyFont="1" applyFill="1" applyBorder="1" applyAlignment="1">
      <alignment vertical="center"/>
    </xf>
    <xf numFmtId="177" fontId="5" fillId="24" borderId="58" xfId="87" applyNumberFormat="1" applyFont="1" applyFill="1" applyBorder="1" applyAlignment="1">
      <alignment vertical="center"/>
    </xf>
    <xf numFmtId="177" fontId="5" fillId="0" borderId="58" xfId="87" applyNumberFormat="1" applyFont="1" applyBorder="1" applyAlignment="1">
      <alignment vertical="center"/>
    </xf>
    <xf numFmtId="0" fontId="56" fillId="0" borderId="97" xfId="140" applyFont="1" applyBorder="1" applyAlignment="1">
      <alignment vertical="center"/>
      <protection/>
    </xf>
    <xf numFmtId="177" fontId="0" fillId="0" borderId="52" xfId="87" applyNumberFormat="1" applyBorder="1" applyAlignment="1">
      <alignment vertical="center"/>
    </xf>
    <xf numFmtId="177" fontId="0" fillId="0" borderId="52" xfId="140" applyNumberFormat="1" applyBorder="1" applyAlignment="1">
      <alignment vertical="center"/>
      <protection/>
    </xf>
    <xf numFmtId="0" fontId="0" fillId="0" borderId="27" xfId="140" applyBorder="1" applyAlignment="1">
      <alignment horizontal="distributed" vertical="center"/>
      <protection/>
    </xf>
    <xf numFmtId="0" fontId="0" fillId="0" borderId="29" xfId="140" applyBorder="1" applyAlignment="1">
      <alignment horizontal="distributed" vertical="center"/>
      <protection/>
    </xf>
    <xf numFmtId="177" fontId="5" fillId="22" borderId="98" xfId="87" applyNumberFormat="1" applyFont="1" applyFill="1" applyBorder="1" applyAlignment="1">
      <alignment vertical="center"/>
    </xf>
    <xf numFmtId="0" fontId="0" fillId="0" borderId="0" xfId="140" applyBorder="1" applyAlignment="1">
      <alignment horizontal="distributed" vertical="center"/>
      <protection/>
    </xf>
    <xf numFmtId="177" fontId="5" fillId="0" borderId="0" xfId="87" applyNumberFormat="1" applyFont="1" applyBorder="1" applyAlignment="1">
      <alignment vertical="center"/>
    </xf>
    <xf numFmtId="177" fontId="5" fillId="24" borderId="0" xfId="87" applyNumberFormat="1" applyFont="1" applyFill="1" applyBorder="1" applyAlignment="1">
      <alignment vertical="center"/>
    </xf>
    <xf numFmtId="177" fontId="5" fillId="0" borderId="14" xfId="87" applyNumberFormat="1" applyFont="1" applyBorder="1" applyAlignment="1">
      <alignment vertical="center"/>
    </xf>
    <xf numFmtId="0" fontId="0" fillId="0" borderId="0" xfId="140" applyFont="1" applyBorder="1" applyAlignment="1">
      <alignment vertical="center"/>
      <protection/>
    </xf>
    <xf numFmtId="0" fontId="0" fillId="0" borderId="0" xfId="140" applyBorder="1" applyAlignment="1">
      <alignment vertical="center"/>
      <protection/>
    </xf>
    <xf numFmtId="0" fontId="0" fillId="0" borderId="0" xfId="140" applyAlignment="1">
      <alignment horizontal="distributed" vertical="center"/>
      <protection/>
    </xf>
    <xf numFmtId="177" fontId="5" fillId="0" borderId="0" xfId="87" applyNumberFormat="1" applyFont="1" applyAlignment="1">
      <alignment vertical="center"/>
    </xf>
    <xf numFmtId="177" fontId="5" fillId="24" borderId="0" xfId="87" applyNumberFormat="1" applyFont="1" applyFill="1" applyAlignment="1">
      <alignment vertical="center"/>
    </xf>
    <xf numFmtId="0" fontId="0" fillId="0" borderId="21" xfId="0" applyFont="1" applyBorder="1" applyAlignment="1">
      <alignment horizontal="distributed" vertical="center" wrapText="1"/>
    </xf>
    <xf numFmtId="177" fontId="0" fillId="0" borderId="0" xfId="140" applyNumberFormat="1" applyFont="1" applyAlignment="1">
      <alignment vertical="center"/>
      <protection/>
    </xf>
    <xf numFmtId="177" fontId="55" fillId="22" borderId="13" xfId="140" applyNumberFormat="1" applyFont="1" applyFill="1" applyBorder="1" applyAlignment="1">
      <alignment horizontal="center" vertical="center"/>
      <protection/>
    </xf>
    <xf numFmtId="177" fontId="0" fillId="24" borderId="99" xfId="140" applyNumberFormat="1" applyFont="1" applyFill="1" applyBorder="1" applyAlignment="1">
      <alignment horizontal="center" vertical="center"/>
      <protection/>
    </xf>
    <xf numFmtId="177" fontId="4" fillId="0" borderId="13" xfId="140" applyNumberFormat="1" applyFont="1" applyBorder="1" applyAlignment="1">
      <alignment horizontal="center" vertical="center"/>
      <protection/>
    </xf>
    <xf numFmtId="0" fontId="0" fillId="0" borderId="100" xfId="140" applyBorder="1" applyAlignment="1">
      <alignment horizontal="distributed" vertical="center"/>
      <protection/>
    </xf>
    <xf numFmtId="0" fontId="0" fillId="0" borderId="92" xfId="140" applyBorder="1" applyAlignment="1">
      <alignment horizontal="distributed" vertical="center"/>
      <protection/>
    </xf>
    <xf numFmtId="177" fontId="5" fillId="26" borderId="92" xfId="87" applyNumberFormat="1" applyFont="1" applyFill="1" applyBorder="1" applyAlignment="1">
      <alignment vertical="center"/>
    </xf>
    <xf numFmtId="177" fontId="5" fillId="24" borderId="101" xfId="87" applyNumberFormat="1" applyFont="1" applyFill="1" applyBorder="1" applyAlignment="1">
      <alignment vertical="center"/>
    </xf>
    <xf numFmtId="177" fontId="5" fillId="24" borderId="92" xfId="87" applyNumberFormat="1" applyFont="1" applyFill="1" applyBorder="1" applyAlignment="1">
      <alignment vertical="center"/>
    </xf>
    <xf numFmtId="177" fontId="5" fillId="24" borderId="102" xfId="87" applyNumberFormat="1" applyFont="1" applyFill="1" applyBorder="1" applyAlignment="1">
      <alignment vertical="center"/>
    </xf>
    <xf numFmtId="177" fontId="5" fillId="26" borderId="102" xfId="87" applyNumberFormat="1" applyFont="1" applyFill="1" applyBorder="1" applyAlignment="1">
      <alignment vertical="center"/>
    </xf>
    <xf numFmtId="177" fontId="0" fillId="0" borderId="103" xfId="87" applyNumberFormat="1" applyBorder="1" applyAlignment="1">
      <alignment vertical="center"/>
    </xf>
    <xf numFmtId="41" fontId="0" fillId="0" borderId="104" xfId="87" applyBorder="1" applyAlignment="1">
      <alignment horizontal="center" vertical="center"/>
    </xf>
    <xf numFmtId="0" fontId="0" fillId="0" borderId="105" xfId="140" applyBorder="1" applyAlignment="1">
      <alignment horizontal="distributed" vertical="center"/>
      <protection/>
    </xf>
    <xf numFmtId="0" fontId="0" fillId="0" borderId="106" xfId="140" applyBorder="1" applyAlignment="1">
      <alignment horizontal="distributed" vertical="center"/>
      <protection/>
    </xf>
    <xf numFmtId="177" fontId="0" fillId="26" borderId="58" xfId="87" applyNumberFormat="1" applyFill="1" applyBorder="1" applyAlignment="1">
      <alignment vertical="center"/>
    </xf>
    <xf numFmtId="177" fontId="0" fillId="0" borderId="59" xfId="87" applyNumberFormat="1" applyBorder="1" applyAlignment="1">
      <alignment vertical="center"/>
    </xf>
    <xf numFmtId="177" fontId="0" fillId="0" borderId="58" xfId="87" applyNumberFormat="1" applyBorder="1" applyAlignment="1">
      <alignment vertical="center"/>
    </xf>
    <xf numFmtId="177" fontId="0" fillId="22" borderId="58" xfId="140" applyNumberFormat="1" applyFill="1" applyBorder="1" applyAlignment="1">
      <alignment vertical="center"/>
      <protection/>
    </xf>
    <xf numFmtId="177" fontId="0" fillId="0" borderId="106" xfId="87" applyNumberFormat="1" applyBorder="1" applyAlignment="1">
      <alignment vertical="center"/>
    </xf>
    <xf numFmtId="41" fontId="6" fillId="0" borderId="107" xfId="87" applyFont="1" applyBorder="1" applyAlignment="1">
      <alignment horizontal="center" vertical="center"/>
    </xf>
    <xf numFmtId="0" fontId="0" fillId="0" borderId="22" xfId="140" applyBorder="1" applyAlignment="1">
      <alignment horizontal="distributed" vertical="center"/>
      <protection/>
    </xf>
    <xf numFmtId="0" fontId="0" fillId="0" borderId="23" xfId="140" applyBorder="1" applyAlignment="1">
      <alignment horizontal="distributed" vertical="center"/>
      <protection/>
    </xf>
    <xf numFmtId="0" fontId="0" fillId="0" borderId="21" xfId="140" applyBorder="1" applyAlignment="1">
      <alignment horizontal="distributed" vertical="center"/>
      <protection/>
    </xf>
    <xf numFmtId="177" fontId="0" fillId="26" borderId="108" xfId="87" applyNumberFormat="1" applyFill="1" applyBorder="1" applyAlignment="1">
      <alignment vertical="center"/>
    </xf>
    <xf numFmtId="177" fontId="0" fillId="0" borderId="109" xfId="87" applyNumberFormat="1" applyBorder="1" applyAlignment="1">
      <alignment vertical="center"/>
    </xf>
    <xf numFmtId="177" fontId="0" fillId="0" borderId="108" xfId="87" applyNumberFormat="1" applyBorder="1" applyAlignment="1">
      <alignment vertical="center"/>
    </xf>
    <xf numFmtId="177" fontId="0" fillId="22" borderId="52" xfId="140" applyNumberFormat="1" applyFill="1" applyBorder="1" applyAlignment="1">
      <alignment vertical="center"/>
      <protection/>
    </xf>
    <xf numFmtId="177" fontId="0" fillId="0" borderId="23" xfId="87" applyNumberFormat="1" applyBorder="1" applyAlignment="1">
      <alignment vertical="center"/>
    </xf>
    <xf numFmtId="41" fontId="6" fillId="0" borderId="110" xfId="87" applyFont="1" applyBorder="1" applyAlignment="1">
      <alignment horizontal="center" vertical="center"/>
    </xf>
    <xf numFmtId="0" fontId="0" fillId="0" borderId="111" xfId="140" applyFont="1" applyBorder="1" applyAlignment="1">
      <alignment horizontal="distributed" vertical="center"/>
      <protection/>
    </xf>
    <xf numFmtId="177" fontId="5" fillId="26" borderId="112" xfId="87" applyNumberFormat="1" applyFont="1" applyFill="1" applyBorder="1" applyAlignment="1">
      <alignment vertical="center"/>
    </xf>
    <xf numFmtId="177" fontId="0" fillId="24" borderId="113" xfId="87" applyNumberFormat="1" applyFill="1" applyBorder="1" applyAlignment="1">
      <alignment vertical="center"/>
    </xf>
    <xf numFmtId="177" fontId="0" fillId="22" borderId="35" xfId="140" applyNumberFormat="1" applyFill="1" applyBorder="1" applyAlignment="1">
      <alignment vertical="center"/>
      <protection/>
    </xf>
    <xf numFmtId="177" fontId="0" fillId="0" borderId="24" xfId="87" applyNumberFormat="1" applyBorder="1" applyAlignment="1">
      <alignment vertical="center"/>
    </xf>
    <xf numFmtId="41" fontId="6" fillId="0" borderId="114" xfId="87" applyFont="1" applyBorder="1" applyAlignment="1">
      <alignment horizontal="center" vertical="center"/>
    </xf>
    <xf numFmtId="0" fontId="0" fillId="0" borderId="114" xfId="140" applyBorder="1">
      <alignment/>
      <protection/>
    </xf>
    <xf numFmtId="0" fontId="0" fillId="0" borderId="111" xfId="140" applyBorder="1" applyAlignment="1">
      <alignment horizontal="distributed" vertical="center"/>
      <protection/>
    </xf>
    <xf numFmtId="41" fontId="3" fillId="0" borderId="114" xfId="87" applyFont="1" applyBorder="1" applyAlignment="1">
      <alignment horizontal="left" vertical="center"/>
    </xf>
    <xf numFmtId="41" fontId="6" fillId="0" borderId="114" xfId="87" applyFont="1" applyBorder="1" applyAlignment="1">
      <alignment horizontal="left" vertical="center"/>
    </xf>
    <xf numFmtId="0" fontId="0" fillId="0" borderId="24" xfId="140" applyBorder="1" applyAlignment="1">
      <alignment horizontal="distributed" vertical="center"/>
      <protection/>
    </xf>
    <xf numFmtId="177" fontId="0" fillId="26" borderId="115" xfId="87" applyNumberFormat="1" applyFill="1" applyBorder="1" applyAlignment="1">
      <alignment vertical="center"/>
    </xf>
    <xf numFmtId="177" fontId="0" fillId="0" borderId="115" xfId="87" applyNumberFormat="1" applyBorder="1" applyAlignment="1">
      <alignment vertical="center"/>
    </xf>
    <xf numFmtId="177" fontId="0" fillId="26" borderId="116" xfId="87" applyNumberFormat="1" applyFont="1" applyFill="1" applyBorder="1" applyAlignment="1">
      <alignment vertical="center"/>
    </xf>
    <xf numFmtId="0" fontId="0" fillId="0" borderId="25" xfId="140" applyBorder="1" applyAlignment="1">
      <alignment horizontal="distributed" vertical="center"/>
      <protection/>
    </xf>
    <xf numFmtId="0" fontId="0" fillId="0" borderId="26" xfId="140" applyBorder="1" applyAlignment="1">
      <alignment horizontal="distributed" vertical="center"/>
      <protection/>
    </xf>
    <xf numFmtId="0" fontId="0" fillId="0" borderId="117" xfId="140" applyBorder="1" applyAlignment="1">
      <alignment horizontal="distributed" vertical="center"/>
      <protection/>
    </xf>
    <xf numFmtId="177" fontId="0" fillId="26" borderId="118" xfId="87" applyNumberFormat="1" applyFont="1" applyFill="1" applyBorder="1" applyAlignment="1">
      <alignment vertical="center"/>
    </xf>
    <xf numFmtId="177" fontId="0" fillId="24" borderId="119" xfId="87" applyNumberFormat="1" applyFill="1" applyBorder="1" applyAlignment="1">
      <alignment vertical="center"/>
    </xf>
    <xf numFmtId="177" fontId="0" fillId="22" borderId="38" xfId="140" applyNumberFormat="1" applyFill="1" applyBorder="1" applyAlignment="1">
      <alignment vertical="center"/>
      <protection/>
    </xf>
    <xf numFmtId="177" fontId="0" fillId="0" borderId="117" xfId="87" applyNumberFormat="1" applyBorder="1" applyAlignment="1">
      <alignment vertical="center"/>
    </xf>
    <xf numFmtId="41" fontId="6" fillId="0" borderId="120" xfId="87" applyFont="1" applyBorder="1" applyAlignment="1">
      <alignment horizontal="center" vertical="center"/>
    </xf>
    <xf numFmtId="177" fontId="0" fillId="24" borderId="109" xfId="87" applyNumberFormat="1" applyFill="1" applyBorder="1" applyAlignment="1">
      <alignment vertical="center"/>
    </xf>
    <xf numFmtId="41" fontId="56" fillId="0" borderId="110" xfId="87" applyFont="1" applyBorder="1" applyAlignment="1">
      <alignment horizontal="left" vertical="center"/>
    </xf>
    <xf numFmtId="41" fontId="56" fillId="0" borderId="114" xfId="87" applyFont="1" applyBorder="1" applyAlignment="1">
      <alignment horizontal="left" vertical="center"/>
    </xf>
    <xf numFmtId="177" fontId="0" fillId="26" borderId="113" xfId="87" applyNumberFormat="1" applyFill="1" applyBorder="1" applyAlignment="1">
      <alignment vertical="center"/>
    </xf>
    <xf numFmtId="177" fontId="0" fillId="26" borderId="121" xfId="87" applyNumberFormat="1" applyFont="1" applyFill="1" applyBorder="1" applyAlignment="1">
      <alignment vertical="center"/>
    </xf>
    <xf numFmtId="177" fontId="0" fillId="24" borderId="113" xfId="87" applyNumberFormat="1" applyFont="1" applyFill="1" applyBorder="1" applyAlignment="1">
      <alignment vertical="center"/>
    </xf>
    <xf numFmtId="177" fontId="0" fillId="26" borderId="122" xfId="87" applyNumberFormat="1" applyFont="1" applyFill="1" applyBorder="1" applyAlignment="1">
      <alignment vertical="center"/>
    </xf>
    <xf numFmtId="41" fontId="3" fillId="0" borderId="110" xfId="87" applyFont="1" applyBorder="1" applyAlignment="1">
      <alignment horizontal="left" vertical="center"/>
    </xf>
    <xf numFmtId="177" fontId="0" fillId="24" borderId="119" xfId="87" applyNumberFormat="1" applyFont="1" applyFill="1" applyBorder="1" applyAlignment="1">
      <alignment vertical="center"/>
    </xf>
    <xf numFmtId="41" fontId="3" fillId="0" borderId="120" xfId="87" applyFont="1" applyBorder="1" applyAlignment="1">
      <alignment horizontal="left" vertical="center"/>
    </xf>
    <xf numFmtId="0" fontId="0" fillId="0" borderId="22" xfId="140" applyBorder="1" applyAlignment="1">
      <alignment horizontal="distributed" vertical="center" wrapText="1"/>
      <protection/>
    </xf>
    <xf numFmtId="177" fontId="0" fillId="24" borderId="115" xfId="87" applyNumberFormat="1" applyFill="1" applyBorder="1" applyAlignment="1">
      <alignment vertical="center"/>
    </xf>
    <xf numFmtId="177" fontId="0" fillId="0" borderId="35" xfId="87" applyNumberFormat="1" applyFont="1" applyBorder="1" applyAlignment="1">
      <alignment vertical="center"/>
    </xf>
    <xf numFmtId="177" fontId="0" fillId="0" borderId="35" xfId="140" applyNumberFormat="1" applyFont="1" applyBorder="1" applyAlignment="1">
      <alignment vertical="center"/>
      <protection/>
    </xf>
    <xf numFmtId="41" fontId="6" fillId="0" borderId="71" xfId="87" applyFont="1" applyBorder="1" applyAlignment="1">
      <alignment horizontal="left" vertical="center"/>
    </xf>
    <xf numFmtId="177" fontId="0" fillId="26" borderId="123" xfId="87" applyNumberFormat="1" applyFont="1" applyFill="1" applyBorder="1" applyAlignment="1">
      <alignment vertical="center"/>
    </xf>
    <xf numFmtId="177" fontId="0" fillId="24" borderId="124" xfId="87" applyNumberFormat="1" applyFill="1" applyBorder="1" applyAlignment="1">
      <alignment vertical="center"/>
    </xf>
    <xf numFmtId="0" fontId="0" fillId="0" borderId="24" xfId="140" applyBorder="1" applyAlignment="1">
      <alignment horizontal="distributed" vertical="center" wrapText="1"/>
      <protection/>
    </xf>
    <xf numFmtId="0" fontId="0" fillId="0" borderId="22" xfId="140" applyFont="1" applyBorder="1" applyAlignment="1">
      <alignment horizontal="distributed" vertical="center"/>
      <protection/>
    </xf>
    <xf numFmtId="177" fontId="0" fillId="26" borderId="12" xfId="87" applyNumberFormat="1" applyFill="1" applyBorder="1" applyAlignment="1">
      <alignment vertical="center"/>
    </xf>
    <xf numFmtId="177" fontId="0" fillId="24" borderId="125" xfId="87" applyNumberFormat="1" applyFill="1" applyBorder="1" applyAlignment="1">
      <alignment vertical="center"/>
    </xf>
    <xf numFmtId="177" fontId="0" fillId="24" borderId="12" xfId="87" applyNumberFormat="1" applyFill="1" applyBorder="1" applyAlignment="1">
      <alignment vertical="center"/>
    </xf>
    <xf numFmtId="41" fontId="6" fillId="0" borderId="126" xfId="87" applyFont="1" applyBorder="1" applyAlignment="1">
      <alignment horizontal="center" vertical="center"/>
    </xf>
    <xf numFmtId="0" fontId="0" fillId="0" borderId="24" xfId="140" applyFont="1" applyBorder="1" applyAlignment="1">
      <alignment horizontal="distributed" vertical="center"/>
      <protection/>
    </xf>
    <xf numFmtId="177" fontId="0" fillId="26" borderId="35" xfId="87" applyNumberFormat="1" applyFill="1" applyBorder="1" applyAlignment="1">
      <alignment vertical="center"/>
    </xf>
    <xf numFmtId="177" fontId="0" fillId="24" borderId="55" xfId="87" applyNumberFormat="1" applyFill="1" applyBorder="1" applyAlignment="1">
      <alignment vertical="center"/>
    </xf>
    <xf numFmtId="41" fontId="6" fillId="0" borderId="127" xfId="87" applyFont="1" applyBorder="1" applyAlignment="1">
      <alignment horizontal="center" vertical="center"/>
    </xf>
    <xf numFmtId="0" fontId="0" fillId="0" borderId="23" xfId="140" applyFont="1" applyBorder="1" applyAlignment="1">
      <alignment horizontal="distributed" vertical="center"/>
      <protection/>
    </xf>
    <xf numFmtId="177" fontId="0" fillId="26" borderId="128" xfId="87" applyNumberFormat="1" applyFont="1" applyFill="1" applyBorder="1" applyAlignment="1">
      <alignment vertical="center"/>
    </xf>
    <xf numFmtId="0" fontId="0" fillId="0" borderId="21" xfId="140" applyFont="1" applyBorder="1" applyAlignment="1">
      <alignment horizontal="distributed" vertical="center"/>
      <protection/>
    </xf>
    <xf numFmtId="177" fontId="0" fillId="27" borderId="35" xfId="87" applyNumberFormat="1" applyFill="1" applyBorder="1" applyAlignment="1">
      <alignment vertical="center"/>
    </xf>
    <xf numFmtId="0" fontId="0" fillId="0" borderId="26" xfId="140" applyFont="1" applyBorder="1" applyAlignment="1">
      <alignment horizontal="distributed" vertical="center"/>
      <protection/>
    </xf>
    <xf numFmtId="177" fontId="0" fillId="4" borderId="38" xfId="87" applyNumberFormat="1" applyFont="1" applyFill="1" applyBorder="1" applyAlignment="1">
      <alignment vertical="center"/>
    </xf>
    <xf numFmtId="41" fontId="6" fillId="0" borderId="60" xfId="87" applyFont="1" applyBorder="1" applyAlignment="1">
      <alignment horizontal="center" vertical="center"/>
    </xf>
    <xf numFmtId="177" fontId="0" fillId="24" borderId="108" xfId="87" applyNumberFormat="1" applyFill="1" applyBorder="1" applyAlignment="1">
      <alignment vertical="center"/>
    </xf>
    <xf numFmtId="177" fontId="0" fillId="26" borderId="115" xfId="87" applyNumberFormat="1" applyFont="1" applyFill="1" applyBorder="1" applyAlignment="1">
      <alignment vertical="center"/>
    </xf>
    <xf numFmtId="177" fontId="0" fillId="4" borderId="115" xfId="87" applyNumberFormat="1" applyFont="1" applyFill="1" applyBorder="1" applyAlignment="1">
      <alignment vertical="center"/>
    </xf>
    <xf numFmtId="177" fontId="0" fillId="24" borderId="115" xfId="87" applyNumberFormat="1" applyFont="1" applyFill="1" applyBorder="1" applyAlignment="1">
      <alignment vertical="center"/>
    </xf>
    <xf numFmtId="177" fontId="0" fillId="24" borderId="129" xfId="87" applyNumberFormat="1" applyFill="1" applyBorder="1" applyAlignment="1">
      <alignment vertical="center"/>
    </xf>
    <xf numFmtId="177" fontId="0" fillId="0" borderId="111" xfId="87" applyNumberFormat="1" applyBorder="1" applyAlignment="1">
      <alignment vertical="center"/>
    </xf>
    <xf numFmtId="0" fontId="0" fillId="0" borderId="25" xfId="140" applyBorder="1" applyAlignment="1">
      <alignment horizontal="distributed" vertical="center" wrapText="1"/>
      <protection/>
    </xf>
    <xf numFmtId="177" fontId="0" fillId="22" borderId="11" xfId="140" applyNumberFormat="1" applyFill="1" applyBorder="1" applyAlignment="1">
      <alignment vertical="center"/>
      <protection/>
    </xf>
    <xf numFmtId="177" fontId="0" fillId="0" borderId="26" xfId="87" applyNumberFormat="1" applyBorder="1" applyAlignment="1">
      <alignment vertical="center"/>
    </xf>
    <xf numFmtId="41" fontId="6" fillId="0" borderId="60" xfId="87" applyFont="1" applyBorder="1" applyAlignment="1">
      <alignment horizontal="left" vertical="center"/>
    </xf>
    <xf numFmtId="0" fontId="0" fillId="0" borderId="130" xfId="140" applyBorder="1" applyAlignment="1">
      <alignment horizontal="distributed" vertical="center"/>
      <protection/>
    </xf>
    <xf numFmtId="177" fontId="0" fillId="25" borderId="113" xfId="87" applyNumberFormat="1" applyFill="1" applyBorder="1" applyAlignment="1">
      <alignment vertical="center"/>
    </xf>
    <xf numFmtId="41" fontId="6" fillId="0" borderId="131" xfId="87" applyFont="1" applyBorder="1" applyAlignment="1">
      <alignment horizontal="center" vertical="center"/>
    </xf>
    <xf numFmtId="0" fontId="0" fillId="0" borderId="77" xfId="140" applyBorder="1" applyAlignment="1">
      <alignment horizontal="distributed" vertical="center"/>
      <protection/>
    </xf>
    <xf numFmtId="177" fontId="0" fillId="25" borderId="132" xfId="87" applyNumberFormat="1" applyFont="1" applyFill="1" applyBorder="1" applyAlignment="1">
      <alignment vertical="center"/>
    </xf>
    <xf numFmtId="177" fontId="0" fillId="0" borderId="130" xfId="87" applyNumberFormat="1" applyBorder="1" applyAlignment="1">
      <alignment vertical="center"/>
    </xf>
    <xf numFmtId="0" fontId="0" fillId="0" borderId="23" xfId="140" applyBorder="1" applyAlignment="1">
      <alignment horizontal="distributed" vertical="center" wrapText="1"/>
      <protection/>
    </xf>
    <xf numFmtId="177" fontId="0" fillId="26" borderId="38" xfId="87" applyNumberFormat="1" applyFont="1" applyFill="1" applyBorder="1" applyAlignment="1">
      <alignment vertical="center"/>
    </xf>
    <xf numFmtId="177" fontId="0" fillId="24" borderId="133" xfId="87" applyNumberFormat="1" applyFill="1" applyBorder="1" applyAlignment="1">
      <alignment vertical="center"/>
    </xf>
    <xf numFmtId="0" fontId="0" fillId="0" borderId="134" xfId="140" applyBorder="1" applyAlignment="1">
      <alignment horizontal="distributed" vertical="center"/>
      <protection/>
    </xf>
    <xf numFmtId="0" fontId="0" fillId="0" borderId="135" xfId="140" applyBorder="1" applyAlignment="1">
      <alignment horizontal="distributed" vertical="center" wrapText="1"/>
      <protection/>
    </xf>
    <xf numFmtId="0" fontId="0" fillId="0" borderId="136" xfId="140" applyBorder="1" applyAlignment="1">
      <alignment horizontal="distributed" vertical="center"/>
      <protection/>
    </xf>
    <xf numFmtId="0" fontId="0" fillId="0" borderId="117" xfId="140" applyBorder="1" applyAlignment="1">
      <alignment horizontal="distributed" vertical="center" shrinkToFit="1"/>
      <protection/>
    </xf>
    <xf numFmtId="177" fontId="0" fillId="26" borderId="124" xfId="87" applyNumberFormat="1" applyFill="1" applyBorder="1" applyAlignment="1">
      <alignment vertical="center"/>
    </xf>
    <xf numFmtId="0" fontId="0" fillId="0" borderId="21" xfId="140" applyBorder="1" applyAlignment="1">
      <alignment horizontal="distributed" vertical="center" shrinkToFit="1"/>
      <protection/>
    </xf>
    <xf numFmtId="177" fontId="0" fillId="26" borderId="137" xfId="87" applyNumberFormat="1" applyFont="1" applyFill="1" applyBorder="1" applyAlignment="1">
      <alignment vertical="center"/>
    </xf>
    <xf numFmtId="177" fontId="0" fillId="26" borderId="132" xfId="87" applyNumberFormat="1" applyFill="1" applyBorder="1" applyAlignment="1">
      <alignment vertical="center"/>
    </xf>
    <xf numFmtId="0" fontId="0" fillId="0" borderId="138" xfId="140" applyBorder="1" applyAlignment="1">
      <alignment horizontal="distributed" vertical="center"/>
      <protection/>
    </xf>
    <xf numFmtId="177" fontId="0" fillId="26" borderId="138" xfId="87" applyNumberFormat="1" applyFont="1" applyFill="1" applyBorder="1" applyAlignment="1">
      <alignment vertical="center"/>
    </xf>
    <xf numFmtId="177" fontId="5" fillId="26" borderId="139" xfId="87" applyNumberFormat="1" applyFont="1" applyFill="1" applyBorder="1" applyAlignment="1">
      <alignment vertical="center"/>
    </xf>
    <xf numFmtId="177" fontId="0" fillId="24" borderId="59" xfId="87" applyNumberFormat="1" applyFill="1" applyBorder="1" applyAlignment="1">
      <alignment vertical="center"/>
    </xf>
    <xf numFmtId="177" fontId="0" fillId="0" borderId="58" xfId="87" applyNumberFormat="1" applyFont="1" applyBorder="1" applyAlignment="1">
      <alignment vertical="center"/>
    </xf>
    <xf numFmtId="177" fontId="0" fillId="0" borderId="58" xfId="140" applyNumberFormat="1" applyBorder="1" applyAlignment="1">
      <alignment vertical="center"/>
      <protection/>
    </xf>
    <xf numFmtId="177" fontId="5" fillId="22" borderId="140" xfId="87" applyNumberFormat="1" applyFont="1" applyFill="1" applyBorder="1" applyAlignment="1">
      <alignment vertical="center"/>
    </xf>
    <xf numFmtId="177" fontId="0" fillId="24" borderId="109" xfId="87" applyNumberFormat="1" applyFont="1" applyFill="1" applyBorder="1" applyAlignment="1">
      <alignment vertical="center"/>
    </xf>
    <xf numFmtId="177" fontId="0" fillId="22" borderId="43" xfId="140" applyNumberFormat="1" applyFill="1" applyBorder="1" applyAlignment="1">
      <alignment vertical="center"/>
      <protection/>
    </xf>
    <xf numFmtId="177" fontId="5" fillId="22" borderId="141" xfId="87" applyNumberFormat="1" applyFont="1" applyFill="1" applyBorder="1" applyAlignment="1">
      <alignment vertical="center"/>
    </xf>
    <xf numFmtId="177" fontId="0" fillId="0" borderId="0" xfId="140" applyNumberFormat="1" applyAlignment="1">
      <alignment vertical="center"/>
      <protection/>
    </xf>
    <xf numFmtId="0" fontId="0" fillId="0" borderId="68" xfId="0" applyFont="1" applyBorder="1" applyAlignment="1">
      <alignment horizontal="distributed" vertical="center" wrapText="1"/>
    </xf>
    <xf numFmtId="177" fontId="5" fillId="0" borderId="12" xfId="86" applyNumberFormat="1" applyFont="1" applyFill="1" applyBorder="1" applyAlignment="1">
      <alignment vertical="center"/>
    </xf>
    <xf numFmtId="177" fontId="5" fillId="0" borderId="13" xfId="86" applyNumberFormat="1" applyFont="1" applyFill="1" applyBorder="1" applyAlignment="1">
      <alignment vertical="center"/>
    </xf>
    <xf numFmtId="177" fontId="5" fillId="0" borderId="19" xfId="86" applyNumberFormat="1" applyFont="1" applyFill="1" applyBorder="1" applyAlignment="1">
      <alignment vertical="center"/>
    </xf>
    <xf numFmtId="177" fontId="5" fillId="0" borderId="21" xfId="86" applyNumberFormat="1" applyFont="1" applyFill="1" applyBorder="1" applyAlignment="1">
      <alignment vertical="center"/>
    </xf>
    <xf numFmtId="177" fontId="5" fillId="0" borderId="23" xfId="86" applyNumberFormat="1" applyFont="1" applyFill="1" applyBorder="1" applyAlignment="1">
      <alignment vertical="center"/>
    </xf>
    <xf numFmtId="177" fontId="5" fillId="0" borderId="24" xfId="86" applyNumberFormat="1" applyFont="1" applyFill="1" applyBorder="1" applyAlignment="1">
      <alignment vertical="center"/>
    </xf>
    <xf numFmtId="177" fontId="5" fillId="0" borderId="67" xfId="86" applyNumberFormat="1" applyFont="1" applyFill="1" applyBorder="1" applyAlignment="1">
      <alignment vertical="center"/>
    </xf>
    <xf numFmtId="177" fontId="5" fillId="0" borderId="26" xfId="86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5" fillId="0" borderId="68" xfId="86" applyNumberFormat="1" applyFont="1" applyFill="1" applyBorder="1" applyAlignment="1">
      <alignment vertical="center"/>
    </xf>
    <xf numFmtId="177" fontId="5" fillId="0" borderId="32" xfId="86" applyNumberFormat="1" applyFont="1" applyFill="1" applyBorder="1" applyAlignment="1">
      <alignment vertical="center"/>
    </xf>
    <xf numFmtId="177" fontId="5" fillId="0" borderId="31" xfId="86" applyNumberFormat="1" applyFont="1" applyFill="1" applyBorder="1" applyAlignment="1">
      <alignment vertical="center"/>
    </xf>
    <xf numFmtId="177" fontId="5" fillId="0" borderId="87" xfId="86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6" xfId="86" applyNumberFormat="1" applyFont="1" applyFill="1" applyBorder="1" applyAlignment="1">
      <alignment horizontal="right" vertical="center"/>
    </xf>
    <xf numFmtId="177" fontId="0" fillId="0" borderId="23" xfId="86" applyNumberFormat="1" applyFont="1" applyFill="1" applyBorder="1" applyAlignment="1">
      <alignment horizontal="center" vertical="center"/>
    </xf>
    <xf numFmtId="177" fontId="0" fillId="0" borderId="23" xfId="86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1" xfId="86" applyNumberFormat="1" applyFont="1" applyFill="1" applyBorder="1" applyAlignment="1">
      <alignment horizontal="right" vertical="center"/>
    </xf>
    <xf numFmtId="177" fontId="4" fillId="0" borderId="23" xfId="86" applyNumberFormat="1" applyFont="1" applyFill="1" applyBorder="1" applyAlignment="1">
      <alignment horizontal="right" vertical="center"/>
    </xf>
    <xf numFmtId="177" fontId="0" fillId="0" borderId="77" xfId="86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2" xfId="86" applyFont="1" applyFill="1" applyBorder="1" applyAlignment="1">
      <alignment vertical="center"/>
    </xf>
    <xf numFmtId="41" fontId="0" fillId="0" borderId="13" xfId="86" applyFont="1" applyFill="1" applyBorder="1" applyAlignment="1">
      <alignment vertical="center"/>
    </xf>
    <xf numFmtId="41" fontId="0" fillId="0" borderId="19" xfId="86" applyFont="1" applyFill="1" applyBorder="1" applyAlignment="1">
      <alignment vertical="center"/>
    </xf>
    <xf numFmtId="41" fontId="0" fillId="0" borderId="21" xfId="86" applyFont="1" applyFill="1" applyBorder="1" applyAlignment="1">
      <alignment vertical="center"/>
    </xf>
    <xf numFmtId="41" fontId="0" fillId="0" borderId="23" xfId="86" applyFont="1" applyFill="1" applyBorder="1" applyAlignment="1">
      <alignment vertical="center"/>
    </xf>
    <xf numFmtId="41" fontId="0" fillId="0" borderId="24" xfId="86" applyFont="1" applyFill="1" applyBorder="1" applyAlignment="1">
      <alignment vertical="center"/>
    </xf>
    <xf numFmtId="41" fontId="0" fillId="0" borderId="26" xfId="86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41" fontId="0" fillId="0" borderId="68" xfId="86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41" fontId="0" fillId="0" borderId="67" xfId="86" applyFont="1" applyFill="1" applyBorder="1" applyAlignment="1">
      <alignment vertical="center"/>
    </xf>
    <xf numFmtId="177" fontId="0" fillId="0" borderId="23" xfId="86" applyNumberFormat="1" applyFont="1" applyFill="1" applyBorder="1" applyAlignment="1">
      <alignment vertical="center"/>
    </xf>
    <xf numFmtId="41" fontId="0" fillId="0" borderId="32" xfId="86" applyFont="1" applyFill="1" applyBorder="1" applyAlignment="1">
      <alignment vertical="center"/>
    </xf>
    <xf numFmtId="41" fontId="0" fillId="0" borderId="79" xfId="86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1" fontId="0" fillId="0" borderId="68" xfId="86" applyNumberFormat="1" applyFont="1" applyFill="1" applyBorder="1" applyAlignment="1">
      <alignment vertical="center"/>
    </xf>
    <xf numFmtId="177" fontId="0" fillId="0" borderId="67" xfId="86" applyNumberFormat="1" applyFont="1" applyFill="1" applyBorder="1" applyAlignment="1">
      <alignment vertical="center"/>
    </xf>
    <xf numFmtId="177" fontId="0" fillId="0" borderId="26" xfId="86" applyNumberFormat="1" applyFont="1" applyFill="1" applyBorder="1" applyAlignment="1">
      <alignment vertical="center"/>
    </xf>
    <xf numFmtId="177" fontId="0" fillId="0" borderId="21" xfId="86" applyNumberFormat="1" applyFont="1" applyFill="1" applyBorder="1" applyAlignment="1">
      <alignment vertical="center"/>
    </xf>
    <xf numFmtId="177" fontId="0" fillId="0" borderId="68" xfId="86" applyNumberFormat="1" applyFont="1" applyFill="1" applyBorder="1" applyAlignment="1">
      <alignment vertical="center"/>
    </xf>
    <xf numFmtId="177" fontId="0" fillId="0" borderId="24" xfId="86" applyNumberFormat="1" applyFont="1" applyFill="1" applyBorder="1" applyAlignment="1">
      <alignment vertical="center"/>
    </xf>
    <xf numFmtId="41" fontId="9" fillId="0" borderId="23" xfId="86" applyFont="1" applyFill="1" applyBorder="1" applyAlignment="1">
      <alignment vertical="center"/>
    </xf>
    <xf numFmtId="41" fontId="9" fillId="0" borderId="24" xfId="86" applyFont="1" applyFill="1" applyBorder="1" applyAlignment="1">
      <alignment vertical="center"/>
    </xf>
    <xf numFmtId="41" fontId="9" fillId="0" borderId="21" xfId="86" applyFont="1" applyFill="1" applyBorder="1" applyAlignment="1">
      <alignment vertical="center"/>
    </xf>
    <xf numFmtId="41" fontId="9" fillId="0" borderId="26" xfId="8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/>
    </xf>
    <xf numFmtId="177" fontId="5" fillId="0" borderId="14" xfId="86" applyNumberFormat="1" applyFont="1" applyFill="1" applyBorder="1" applyAlignment="1">
      <alignment vertical="center"/>
    </xf>
    <xf numFmtId="177" fontId="5" fillId="0" borderId="0" xfId="86" applyNumberFormat="1" applyFont="1" applyFill="1" applyBorder="1" applyAlignment="1">
      <alignment vertical="center"/>
    </xf>
    <xf numFmtId="177" fontId="0" fillId="0" borderId="0" xfId="86" applyNumberFormat="1" applyFill="1" applyBorder="1" applyAlignment="1">
      <alignment vertical="center"/>
    </xf>
    <xf numFmtId="177" fontId="0" fillId="0" borderId="0" xfId="86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41" fontId="0" fillId="0" borderId="11" xfId="86" applyFont="1" applyFill="1" applyBorder="1" applyAlignment="1">
      <alignment horizontal="center" vertical="center" wrapText="1"/>
    </xf>
    <xf numFmtId="41" fontId="0" fillId="0" borderId="12" xfId="86" applyNumberFormat="1" applyFont="1" applyFill="1" applyBorder="1" applyAlignment="1">
      <alignment horizontal="distributed" vertical="center"/>
    </xf>
    <xf numFmtId="177" fontId="5" fillId="0" borderId="13" xfId="86" applyNumberFormat="1" applyFont="1" applyFill="1" applyBorder="1" applyAlignment="1">
      <alignment horizontal="right" vertical="center"/>
    </xf>
    <xf numFmtId="177" fontId="0" fillId="0" borderId="19" xfId="86" applyNumberFormat="1" applyFont="1" applyFill="1" applyBorder="1" applyAlignment="1">
      <alignment horizontal="right" vertical="center"/>
    </xf>
    <xf numFmtId="177" fontId="5" fillId="0" borderId="21" xfId="86" applyNumberFormat="1" applyFont="1" applyFill="1" applyBorder="1" applyAlignment="1">
      <alignment horizontal="right" vertical="center"/>
    </xf>
    <xf numFmtId="177" fontId="5" fillId="0" borderId="23" xfId="86" applyNumberFormat="1" applyFont="1" applyFill="1" applyBorder="1" applyAlignment="1">
      <alignment horizontal="right" vertical="center"/>
    </xf>
    <xf numFmtId="177" fontId="0" fillId="0" borderId="24" xfId="86" applyNumberFormat="1" applyFont="1" applyFill="1" applyBorder="1" applyAlignment="1">
      <alignment horizontal="right" vertical="center"/>
    </xf>
    <xf numFmtId="177" fontId="0" fillId="0" borderId="21" xfId="86" applyNumberFormat="1" applyFont="1" applyFill="1" applyBorder="1" applyAlignment="1">
      <alignment horizontal="right" vertical="center"/>
    </xf>
    <xf numFmtId="177" fontId="0" fillId="0" borderId="21" xfId="86" applyNumberFormat="1" applyFont="1" applyFill="1" applyBorder="1" applyAlignment="1">
      <alignment horizontal="right" vertical="center" wrapText="1"/>
    </xf>
    <xf numFmtId="177" fontId="0" fillId="0" borderId="23" xfId="86" applyNumberFormat="1" applyFont="1" applyFill="1" applyBorder="1" applyAlignment="1">
      <alignment horizontal="right" vertical="center" wrapText="1"/>
    </xf>
    <xf numFmtId="177" fontId="0" fillId="0" borderId="68" xfId="86" applyNumberFormat="1" applyFont="1" applyFill="1" applyBorder="1" applyAlignment="1">
      <alignment horizontal="right" vertical="center"/>
    </xf>
    <xf numFmtId="177" fontId="5" fillId="0" borderId="26" xfId="86" applyNumberFormat="1" applyFont="1" applyFill="1" applyBorder="1" applyAlignment="1">
      <alignment horizontal="right" vertical="center"/>
    </xf>
    <xf numFmtId="177" fontId="0" fillId="0" borderId="67" xfId="86" applyNumberFormat="1" applyFont="1" applyFill="1" applyBorder="1" applyAlignment="1">
      <alignment horizontal="right" vertical="center"/>
    </xf>
    <xf numFmtId="177" fontId="0" fillId="0" borderId="67" xfId="86" applyNumberFormat="1" applyFont="1" applyFill="1" applyBorder="1" applyAlignment="1">
      <alignment horizontal="right" vertical="center" wrapText="1"/>
    </xf>
    <xf numFmtId="177" fontId="5" fillId="0" borderId="67" xfId="86" applyNumberFormat="1" applyFont="1" applyFill="1" applyBorder="1" applyAlignment="1">
      <alignment horizontal="right" vertical="center"/>
    </xf>
    <xf numFmtId="41" fontId="0" fillId="0" borderId="14" xfId="86" applyFont="1" applyFill="1" applyBorder="1" applyAlignment="1">
      <alignment horizontal="distributed" vertical="center"/>
    </xf>
    <xf numFmtId="41" fontId="0" fillId="0" borderId="0" xfId="86" applyFont="1" applyFill="1" applyBorder="1" applyAlignment="1">
      <alignment horizontal="distributed" vertical="center"/>
    </xf>
    <xf numFmtId="41" fontId="0" fillId="0" borderId="0" xfId="86" applyFont="1" applyFill="1" applyAlignment="1">
      <alignment horizontal="distributed" vertical="center"/>
    </xf>
    <xf numFmtId="41" fontId="0" fillId="0" borderId="0" xfId="86" applyFont="1" applyFill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41" fontId="0" fillId="0" borderId="13" xfId="86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horizontal="distributed" vertical="center"/>
    </xf>
    <xf numFmtId="41" fontId="0" fillId="0" borderId="23" xfId="0" applyNumberFormat="1" applyFont="1" applyFill="1" applyBorder="1" applyAlignment="1">
      <alignment horizontal="distributed" vertical="center"/>
    </xf>
    <xf numFmtId="41" fontId="0" fillId="0" borderId="23" xfId="0" applyNumberFormat="1" applyFont="1" applyFill="1" applyBorder="1" applyAlignment="1">
      <alignment horizontal="center" vertical="center"/>
    </xf>
    <xf numFmtId="41" fontId="0" fillId="0" borderId="23" xfId="86" applyNumberFormat="1" applyFont="1" applyFill="1" applyBorder="1" applyAlignment="1">
      <alignment horizontal="distributed" vertical="center"/>
    </xf>
    <xf numFmtId="41" fontId="0" fillId="0" borderId="24" xfId="0" applyNumberFormat="1" applyFill="1" applyBorder="1" applyAlignment="1">
      <alignment horizontal="distributed" vertical="center"/>
    </xf>
    <xf numFmtId="41" fontId="0" fillId="0" borderId="21" xfId="86" applyNumberFormat="1" applyFont="1" applyFill="1" applyBorder="1" applyAlignment="1">
      <alignment horizontal="distributed" vertical="center"/>
    </xf>
    <xf numFmtId="41" fontId="0" fillId="0" borderId="24" xfId="0" applyNumberFormat="1" applyFont="1" applyFill="1" applyBorder="1" applyAlignment="1">
      <alignment horizontal="distributed" vertical="center"/>
    </xf>
    <xf numFmtId="41" fontId="0" fillId="0" borderId="26" xfId="86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77" xfId="86" applyNumberFormat="1" applyFont="1" applyFill="1" applyBorder="1" applyAlignment="1">
      <alignment vertical="center"/>
    </xf>
    <xf numFmtId="41" fontId="0" fillId="0" borderId="21" xfId="86" applyNumberFormat="1" applyFont="1" applyFill="1" applyBorder="1" applyAlignment="1">
      <alignment horizontal="right" vertical="center"/>
    </xf>
    <xf numFmtId="41" fontId="0" fillId="0" borderId="77" xfId="86" applyNumberFormat="1" applyFont="1" applyFill="1" applyBorder="1" applyAlignment="1">
      <alignment horizontal="distributed" vertical="center"/>
    </xf>
    <xf numFmtId="41" fontId="0" fillId="0" borderId="21" xfId="86" applyNumberFormat="1" applyFont="1" applyFill="1" applyBorder="1" applyAlignment="1">
      <alignment horizontal="distributed" vertical="center" wrapText="1"/>
    </xf>
    <xf numFmtId="41" fontId="0" fillId="0" borderId="23" xfId="86" applyNumberFormat="1" applyFont="1" applyFill="1" applyBorder="1" applyAlignment="1">
      <alignment vertical="center"/>
    </xf>
    <xf numFmtId="41" fontId="0" fillId="0" borderId="23" xfId="0" applyNumberFormat="1" applyFill="1" applyBorder="1" applyAlignment="1">
      <alignment horizontal="distributed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32" xfId="86" applyNumberFormat="1" applyFont="1" applyFill="1" applyBorder="1" applyAlignment="1">
      <alignment horizontal="right" vertical="center"/>
    </xf>
    <xf numFmtId="41" fontId="0" fillId="0" borderId="26" xfId="86" applyNumberFormat="1" applyFont="1" applyFill="1" applyBorder="1" applyAlignment="1">
      <alignment horizontal="right" vertical="center"/>
    </xf>
    <xf numFmtId="41" fontId="0" fillId="0" borderId="77" xfId="86" applyNumberFormat="1" applyFont="1" applyFill="1" applyBorder="1" applyAlignment="1">
      <alignment horizontal="right" vertical="center"/>
    </xf>
    <xf numFmtId="41" fontId="0" fillId="0" borderId="23" xfId="86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 wrapText="1"/>
    </xf>
    <xf numFmtId="41" fontId="0" fillId="0" borderId="21" xfId="0" applyNumberFormat="1" applyFont="1" applyFill="1" applyBorder="1" applyAlignment="1">
      <alignment horizontal="distributed" vertical="center" wrapText="1"/>
    </xf>
    <xf numFmtId="41" fontId="0" fillId="0" borderId="77" xfId="0" applyNumberFormat="1" applyFont="1" applyFill="1" applyBorder="1" applyAlignment="1">
      <alignment horizontal="distributed" vertical="center" wrapText="1"/>
    </xf>
    <xf numFmtId="41" fontId="0" fillId="0" borderId="23" xfId="0" applyNumberFormat="1" applyFont="1" applyFill="1" applyBorder="1" applyAlignment="1">
      <alignment horizontal="distributed" vertical="center" wrapText="1"/>
    </xf>
    <xf numFmtId="41" fontId="0" fillId="0" borderId="21" xfId="0" applyNumberFormat="1" applyFont="1" applyFill="1" applyBorder="1" applyAlignment="1">
      <alignment horizontal="distributed" vertical="center"/>
    </xf>
    <xf numFmtId="41" fontId="0" fillId="0" borderId="26" xfId="0" applyNumberFormat="1" applyFont="1" applyFill="1" applyBorder="1" applyAlignment="1">
      <alignment horizontal="distributed" vertical="center"/>
    </xf>
    <xf numFmtId="41" fontId="0" fillId="0" borderId="12" xfId="86" applyFont="1" applyFill="1" applyBorder="1" applyAlignment="1">
      <alignment horizontal="right" vertical="center"/>
    </xf>
    <xf numFmtId="41" fontId="0" fillId="0" borderId="13" xfId="86" applyNumberFormat="1" applyFont="1" applyFill="1" applyBorder="1" applyAlignment="1">
      <alignment horizontal="right" vertical="center"/>
    </xf>
    <xf numFmtId="41" fontId="0" fillId="0" borderId="19" xfId="86" applyNumberFormat="1" applyFont="1" applyFill="1" applyBorder="1" applyAlignment="1">
      <alignment horizontal="right" vertical="center"/>
    </xf>
    <xf numFmtId="41" fontId="0" fillId="0" borderId="24" xfId="86" applyNumberFormat="1" applyFont="1" applyFill="1" applyBorder="1" applyAlignment="1">
      <alignment horizontal="right" vertical="center"/>
    </xf>
    <xf numFmtId="41" fontId="0" fillId="0" borderId="21" xfId="86" applyNumberFormat="1" applyFont="1" applyFill="1" applyBorder="1" applyAlignment="1">
      <alignment horizontal="right" vertical="center" wrapText="1"/>
    </xf>
    <xf numFmtId="41" fontId="0" fillId="0" borderId="77" xfId="86" applyNumberFormat="1" applyFont="1" applyFill="1" applyBorder="1" applyAlignment="1">
      <alignment horizontal="right" vertical="center" wrapText="1"/>
    </xf>
    <xf numFmtId="41" fontId="0" fillId="0" borderId="23" xfId="86" applyNumberFormat="1" applyFont="1" applyFill="1" applyBorder="1" applyAlignment="1">
      <alignment horizontal="right" vertical="center" wrapText="1"/>
    </xf>
    <xf numFmtId="41" fontId="0" fillId="0" borderId="0" xfId="86" applyFont="1" applyFill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8" fontId="14" fillId="0" borderId="0" xfId="0" applyNumberFormat="1" applyFont="1" applyFill="1" applyAlignment="1">
      <alignment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86" applyNumberFormat="1" applyAlignment="1">
      <alignment vertical="center"/>
    </xf>
    <xf numFmtId="41" fontId="5" fillId="0" borderId="14" xfId="86" applyFont="1" applyFill="1" applyBorder="1" applyAlignment="1">
      <alignment vertical="center"/>
    </xf>
    <xf numFmtId="41" fontId="5" fillId="0" borderId="0" xfId="86" applyFont="1" applyFill="1" applyBorder="1" applyAlignment="1">
      <alignment vertical="center"/>
    </xf>
    <xf numFmtId="41" fontId="0" fillId="0" borderId="0" xfId="86" applyFill="1" applyBorder="1" applyAlignment="1">
      <alignment vertical="center"/>
    </xf>
    <xf numFmtId="41" fontId="0" fillId="0" borderId="0" xfId="86" applyFill="1" applyAlignment="1">
      <alignment vertical="center"/>
    </xf>
    <xf numFmtId="41" fontId="0" fillId="0" borderId="24" xfId="86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86" applyFont="1" applyFill="1" applyAlignment="1">
      <alignment horizontal="right" vertical="center"/>
    </xf>
    <xf numFmtId="41" fontId="6" fillId="0" borderId="142" xfId="86" applyFont="1" applyFill="1" applyBorder="1" applyAlignment="1">
      <alignment vertical="center"/>
    </xf>
    <xf numFmtId="41" fontId="6" fillId="0" borderId="14" xfId="86" applyFont="1" applyFill="1" applyBorder="1" applyAlignment="1">
      <alignment vertical="center"/>
    </xf>
    <xf numFmtId="41" fontId="6" fillId="0" borderId="14" xfId="86" applyFont="1" applyFill="1" applyBorder="1" applyAlignment="1">
      <alignment horizontal="right" vertical="center"/>
    </xf>
    <xf numFmtId="41" fontId="6" fillId="0" borderId="143" xfId="86" applyFont="1" applyFill="1" applyBorder="1" applyAlignment="1">
      <alignment horizontal="right" vertical="center"/>
    </xf>
    <xf numFmtId="41" fontId="6" fillId="0" borderId="91" xfId="86" applyFont="1" applyFill="1" applyBorder="1" applyAlignment="1">
      <alignment vertical="center"/>
    </xf>
    <xf numFmtId="41" fontId="6" fillId="0" borderId="144" xfId="86" applyFont="1" applyFill="1" applyBorder="1" applyAlignment="1">
      <alignment vertical="center"/>
    </xf>
    <xf numFmtId="41" fontId="6" fillId="0" borderId="144" xfId="86" applyFont="1" applyFill="1" applyBorder="1" applyAlignment="1">
      <alignment horizontal="right" vertical="center"/>
    </xf>
    <xf numFmtId="41" fontId="6" fillId="0" borderId="145" xfId="86" applyFont="1" applyFill="1" applyBorder="1" applyAlignment="1">
      <alignment horizontal="right" vertical="center"/>
    </xf>
    <xf numFmtId="41" fontId="6" fillId="0" borderId="146" xfId="86" applyFont="1" applyFill="1" applyBorder="1" applyAlignment="1">
      <alignment vertical="center"/>
    </xf>
    <xf numFmtId="41" fontId="6" fillId="0" borderId="146" xfId="86" applyFont="1" applyFill="1" applyBorder="1" applyAlignment="1">
      <alignment horizontal="right" vertical="center"/>
    </xf>
    <xf numFmtId="41" fontId="6" fillId="0" borderId="147" xfId="86" applyFont="1" applyFill="1" applyBorder="1" applyAlignment="1">
      <alignment horizontal="right" vertical="center"/>
    </xf>
    <xf numFmtId="41" fontId="6" fillId="0" borderId="41" xfId="86" applyFont="1" applyFill="1" applyBorder="1" applyAlignment="1">
      <alignment vertical="center"/>
    </xf>
    <xf numFmtId="41" fontId="6" fillId="0" borderId="41" xfId="86" applyFont="1" applyFill="1" applyBorder="1" applyAlignment="1">
      <alignment horizontal="right" vertical="center"/>
    </xf>
    <xf numFmtId="41" fontId="6" fillId="0" borderId="110" xfId="86" applyFont="1" applyFill="1" applyBorder="1" applyAlignment="1">
      <alignment horizontal="right" vertical="center"/>
    </xf>
    <xf numFmtId="41" fontId="6" fillId="0" borderId="0" xfId="86" applyFont="1" applyFill="1" applyBorder="1" applyAlignment="1">
      <alignment vertical="center"/>
    </xf>
    <xf numFmtId="41" fontId="6" fillId="0" borderId="0" xfId="86" applyFont="1" applyFill="1" applyBorder="1" applyAlignment="1">
      <alignment horizontal="center" vertical="center"/>
    </xf>
    <xf numFmtId="41" fontId="6" fillId="0" borderId="0" xfId="86" applyFont="1" applyFill="1" applyBorder="1" applyAlignment="1">
      <alignment horizontal="right" vertical="center"/>
    </xf>
    <xf numFmtId="41" fontId="6" fillId="0" borderId="126" xfId="86" applyFont="1" applyFill="1" applyBorder="1" applyAlignment="1">
      <alignment horizontal="right" vertical="center"/>
    </xf>
    <xf numFmtId="0" fontId="6" fillId="0" borderId="148" xfId="0" applyFont="1" applyFill="1" applyBorder="1" applyAlignment="1">
      <alignment vertical="center"/>
    </xf>
    <xf numFmtId="0" fontId="6" fillId="0" borderId="149" xfId="0" applyFont="1" applyFill="1" applyBorder="1" applyAlignment="1">
      <alignment vertical="center"/>
    </xf>
    <xf numFmtId="41" fontId="6" fillId="0" borderId="149" xfId="86" applyFont="1" applyFill="1" applyBorder="1" applyAlignment="1">
      <alignment horizontal="center" vertical="center"/>
    </xf>
    <xf numFmtId="41" fontId="6" fillId="0" borderId="0" xfId="86" applyFont="1" applyFill="1" applyBorder="1" applyAlignment="1">
      <alignment horizontal="left" vertical="center"/>
    </xf>
    <xf numFmtId="41" fontId="6" fillId="0" borderId="0" xfId="86" applyNumberFormat="1" applyFont="1" applyFill="1" applyBorder="1" applyAlignment="1">
      <alignment horizontal="right" vertical="center"/>
    </xf>
    <xf numFmtId="41" fontId="6" fillId="0" borderId="41" xfId="86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vertical="center"/>
    </xf>
    <xf numFmtId="41" fontId="0" fillId="0" borderId="149" xfId="86" applyFont="1" applyFill="1" applyBorder="1" applyAlignment="1">
      <alignment horizontal="right" vertical="center"/>
    </xf>
    <xf numFmtId="41" fontId="0" fillId="0" borderId="127" xfId="86" applyFont="1" applyFill="1" applyBorder="1" applyAlignment="1">
      <alignment horizontal="right" vertical="center"/>
    </xf>
    <xf numFmtId="41" fontId="6" fillId="0" borderId="61" xfId="8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6" fillId="0" borderId="150" xfId="86" applyFont="1" applyFill="1" applyBorder="1" applyAlignment="1">
      <alignment horizontal="left" vertical="center"/>
    </xf>
    <xf numFmtId="0" fontId="6" fillId="0" borderId="150" xfId="0" applyFont="1" applyFill="1" applyBorder="1" applyAlignment="1">
      <alignment vertical="center"/>
    </xf>
    <xf numFmtId="41" fontId="6" fillId="0" borderId="151" xfId="86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1" fontId="6" fillId="0" borderId="41" xfId="86" applyFont="1" applyFill="1" applyBorder="1" applyAlignment="1">
      <alignment horizontal="left" vertical="center"/>
    </xf>
    <xf numFmtId="0" fontId="6" fillId="0" borderId="61" xfId="0" applyFont="1" applyFill="1" applyBorder="1" applyAlignment="1">
      <alignment vertical="center"/>
    </xf>
    <xf numFmtId="41" fontId="6" fillId="0" borderId="150" xfId="86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149" xfId="86" applyFont="1" applyFill="1" applyBorder="1" applyAlignment="1">
      <alignment vertical="center"/>
    </xf>
    <xf numFmtId="41" fontId="6" fillId="0" borderId="149" xfId="86" applyFont="1" applyFill="1" applyBorder="1" applyAlignment="1">
      <alignment horizontal="right" vertical="center"/>
    </xf>
    <xf numFmtId="41" fontId="6" fillId="0" borderId="127" xfId="86" applyFont="1" applyFill="1" applyBorder="1" applyAlignment="1">
      <alignment horizontal="right" vertical="center"/>
    </xf>
    <xf numFmtId="41" fontId="0" fillId="0" borderId="0" xfId="86" applyFont="1" applyFill="1" applyBorder="1" applyAlignment="1">
      <alignment horizontal="right" vertical="center"/>
    </xf>
    <xf numFmtId="41" fontId="0" fillId="0" borderId="126" xfId="86" applyFont="1" applyFill="1" applyBorder="1" applyAlignment="1">
      <alignment horizontal="right" vertical="center"/>
    </xf>
    <xf numFmtId="41" fontId="6" fillId="0" borderId="126" xfId="86" applyFont="1" applyFill="1" applyBorder="1" applyAlignment="1">
      <alignment horizontal="center" vertical="center"/>
    </xf>
    <xf numFmtId="41" fontId="6" fillId="0" borderId="152" xfId="86" applyFont="1" applyFill="1" applyBorder="1" applyAlignment="1">
      <alignment vertical="center"/>
    </xf>
    <xf numFmtId="41" fontId="6" fillId="0" borderId="153" xfId="86" applyFont="1" applyFill="1" applyBorder="1" applyAlignment="1">
      <alignment vertical="center"/>
    </xf>
    <xf numFmtId="41" fontId="6" fillId="0" borderId="154" xfId="86" applyFont="1" applyFill="1" applyBorder="1" applyAlignment="1">
      <alignment vertical="center"/>
    </xf>
    <xf numFmtId="41" fontId="6" fillId="0" borderId="151" xfId="86" applyFont="1" applyFill="1" applyBorder="1" applyAlignment="1">
      <alignment horizontal="left" vertical="center"/>
    </xf>
    <xf numFmtId="41" fontId="0" fillId="0" borderId="0" xfId="86" applyFont="1" applyFill="1" applyBorder="1" applyAlignment="1">
      <alignment vertical="center"/>
    </xf>
    <xf numFmtId="41" fontId="0" fillId="0" borderId="126" xfId="86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vertical="center"/>
    </xf>
    <xf numFmtId="0" fontId="6" fillId="0" borderId="61" xfId="86" applyNumberFormat="1" applyFont="1" applyFill="1" applyBorder="1" applyAlignment="1">
      <alignment vertical="center"/>
    </xf>
    <xf numFmtId="41" fontId="0" fillId="0" borderId="149" xfId="86" applyFont="1" applyFill="1" applyBorder="1" applyAlignment="1">
      <alignment vertical="center"/>
    </xf>
    <xf numFmtId="41" fontId="0" fillId="0" borderId="127" xfId="86" applyFont="1" applyFill="1" applyBorder="1" applyAlignment="1">
      <alignment vertical="center"/>
    </xf>
    <xf numFmtId="0" fontId="6" fillId="0" borderId="41" xfId="86" applyNumberFormat="1" applyFont="1" applyFill="1" applyBorder="1" applyAlignment="1">
      <alignment vertical="center"/>
    </xf>
    <xf numFmtId="41" fontId="6" fillId="0" borderId="0" xfId="86" applyFont="1" applyFill="1" applyBorder="1" applyAlignment="1">
      <alignment horizontal="left" vertical="center" wrapText="1"/>
    </xf>
    <xf numFmtId="41" fontId="6" fillId="0" borderId="155" xfId="86" applyFont="1" applyFill="1" applyBorder="1" applyAlignment="1">
      <alignment vertical="center"/>
    </xf>
    <xf numFmtId="41" fontId="6" fillId="0" borderId="0" xfId="86" applyFont="1" applyFill="1" applyBorder="1" applyAlignment="1">
      <alignment vertical="center" wrapText="1"/>
    </xf>
    <xf numFmtId="0" fontId="0" fillId="0" borderId="1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6" fillId="0" borderId="154" xfId="86" applyNumberFormat="1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177" fontId="6" fillId="0" borderId="149" xfId="86" applyNumberFormat="1" applyFont="1" applyFill="1" applyBorder="1" applyAlignment="1">
      <alignment vertical="center"/>
    </xf>
    <xf numFmtId="177" fontId="6" fillId="0" borderId="41" xfId="86" applyNumberFormat="1" applyFont="1" applyFill="1" applyBorder="1" applyAlignment="1">
      <alignment horizontal="left" vertical="center" wrapText="1"/>
    </xf>
    <xf numFmtId="0" fontId="6" fillId="0" borderId="41" xfId="86" applyNumberFormat="1" applyFont="1" applyFill="1" applyBorder="1" applyAlignment="1">
      <alignment horizontal="center" vertical="center"/>
    </xf>
    <xf numFmtId="0" fontId="6" fillId="0" borderId="149" xfId="86" applyNumberFormat="1" applyFont="1" applyFill="1" applyBorder="1" applyAlignment="1">
      <alignment horizontal="left" vertical="center"/>
    </xf>
    <xf numFmtId="0" fontId="12" fillId="0" borderId="149" xfId="86" applyNumberFormat="1" applyFont="1" applyFill="1" applyBorder="1" applyAlignment="1">
      <alignment horizontal="left" vertical="center"/>
    </xf>
    <xf numFmtId="0" fontId="12" fillId="0" borderId="149" xfId="86" applyNumberFormat="1" applyFont="1" applyFill="1" applyBorder="1" applyAlignment="1">
      <alignment vertical="center"/>
    </xf>
    <xf numFmtId="0" fontId="6" fillId="0" borderId="149" xfId="86" applyNumberFormat="1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vertical="center"/>
    </xf>
    <xf numFmtId="0" fontId="6" fillId="0" borderId="149" xfId="86" applyNumberFormat="1" applyFont="1" applyFill="1" applyBorder="1" applyAlignment="1">
      <alignment vertical="center"/>
    </xf>
    <xf numFmtId="41" fontId="6" fillId="0" borderId="148" xfId="86" applyFont="1" applyFill="1" applyBorder="1" applyAlignment="1">
      <alignment vertical="center"/>
    </xf>
    <xf numFmtId="0" fontId="6" fillId="0" borderId="154" xfId="86" applyNumberFormat="1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41" fontId="6" fillId="0" borderId="156" xfId="86" applyFont="1" applyFill="1" applyBorder="1" applyAlignment="1">
      <alignment vertical="center"/>
    </xf>
    <xf numFmtId="41" fontId="0" fillId="0" borderId="41" xfId="86" applyFont="1" applyFill="1" applyBorder="1" applyAlignment="1">
      <alignment vertical="center"/>
    </xf>
    <xf numFmtId="41" fontId="0" fillId="0" borderId="110" xfId="86" applyFont="1" applyFill="1" applyBorder="1" applyAlignment="1">
      <alignment vertical="center"/>
    </xf>
    <xf numFmtId="41" fontId="6" fillId="0" borderId="110" xfId="86" applyFont="1" applyFill="1" applyBorder="1" applyAlignment="1">
      <alignment horizontal="left" vertical="center"/>
    </xf>
    <xf numFmtId="41" fontId="6" fillId="0" borderId="126" xfId="86" applyFont="1" applyFill="1" applyBorder="1" applyAlignment="1">
      <alignment horizontal="left" vertical="center"/>
    </xf>
    <xf numFmtId="0" fontId="0" fillId="0" borderId="127" xfId="0" applyFont="1" applyFill="1" applyBorder="1" applyAlignment="1">
      <alignment vertical="center"/>
    </xf>
    <xf numFmtId="41" fontId="6" fillId="0" borderId="0" xfId="86" applyFont="1" applyFill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41" fontId="20" fillId="0" borderId="0" xfId="96" applyFont="1" applyAlignment="1">
      <alignment vertical="center"/>
    </xf>
    <xf numFmtId="41" fontId="10" fillId="0" borderId="0" xfId="96" applyFont="1" applyAlignment="1">
      <alignment horizontal="center"/>
    </xf>
    <xf numFmtId="41" fontId="14" fillId="0" borderId="0" xfId="96" applyFont="1" applyAlignment="1">
      <alignment vertical="center"/>
    </xf>
    <xf numFmtId="41" fontId="22" fillId="0" borderId="0" xfId="96" applyFont="1" applyAlignment="1">
      <alignment horizontal="right" vertical="center"/>
    </xf>
    <xf numFmtId="41" fontId="20" fillId="24" borderId="35" xfId="96" applyFont="1" applyFill="1" applyBorder="1" applyAlignment="1">
      <alignment horizontal="center" vertical="center"/>
    </xf>
    <xf numFmtId="41" fontId="22" fillId="0" borderId="35" xfId="96" applyFont="1" applyFill="1" applyBorder="1" applyAlignment="1">
      <alignment vertical="center"/>
    </xf>
    <xf numFmtId="41" fontId="20" fillId="0" borderId="35" xfId="96" applyFont="1" applyBorder="1" applyAlignment="1">
      <alignment vertical="center"/>
    </xf>
    <xf numFmtId="41" fontId="20" fillId="0" borderId="35" xfId="96" applyFont="1" applyFill="1" applyBorder="1" applyAlignment="1">
      <alignment vertical="center"/>
    </xf>
    <xf numFmtId="41" fontId="20" fillId="0" borderId="36" xfId="96" applyFont="1" applyFill="1" applyBorder="1" applyAlignment="1">
      <alignment vertical="center"/>
    </xf>
    <xf numFmtId="41" fontId="16" fillId="0" borderId="35" xfId="96" applyFont="1" applyFill="1" applyBorder="1" applyAlignment="1">
      <alignment vertical="center"/>
    </xf>
    <xf numFmtId="41" fontId="16" fillId="0" borderId="36" xfId="96" applyFont="1" applyFill="1" applyBorder="1" applyAlignment="1">
      <alignment vertical="center"/>
    </xf>
    <xf numFmtId="41" fontId="22" fillId="0" borderId="38" xfId="96" applyFont="1" applyFill="1" applyBorder="1" applyAlignment="1">
      <alignment vertical="center"/>
    </xf>
    <xf numFmtId="41" fontId="20" fillId="0" borderId="38" xfId="96" applyFont="1" applyFill="1" applyBorder="1" applyAlignment="1">
      <alignment vertical="center"/>
    </xf>
    <xf numFmtId="41" fontId="20" fillId="0" borderId="39" xfId="96" applyFont="1" applyFill="1" applyBorder="1" applyAlignment="1">
      <alignment vertical="center"/>
    </xf>
    <xf numFmtId="0" fontId="15" fillId="0" borderId="0" xfId="0" applyFont="1" applyFill="1" applyAlignment="1">
      <alignment/>
    </xf>
    <xf numFmtId="177" fontId="0" fillId="0" borderId="12" xfId="86" applyNumberFormat="1" applyFont="1" applyFill="1" applyBorder="1" applyAlignment="1">
      <alignment vertical="center"/>
    </xf>
    <xf numFmtId="41" fontId="0" fillId="0" borderId="66" xfId="86" applyFont="1" applyFill="1" applyBorder="1" applyAlignment="1">
      <alignment vertical="center"/>
    </xf>
    <xf numFmtId="41" fontId="5" fillId="0" borderId="69" xfId="86" applyFont="1" applyFill="1" applyBorder="1" applyAlignment="1">
      <alignment vertical="center"/>
    </xf>
    <xf numFmtId="177" fontId="0" fillId="0" borderId="19" xfId="86" applyNumberFormat="1" applyFont="1" applyFill="1" applyBorder="1" applyAlignment="1">
      <alignment vertical="center"/>
    </xf>
    <xf numFmtId="0" fontId="6" fillId="0" borderId="126" xfId="0" applyFont="1" applyFill="1" applyBorder="1" applyAlignment="1">
      <alignment vertical="center"/>
    </xf>
    <xf numFmtId="0" fontId="13" fillId="0" borderId="73" xfId="0" applyFont="1" applyFill="1" applyBorder="1" applyAlignment="1">
      <alignment vertical="center"/>
    </xf>
    <xf numFmtId="0" fontId="13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 wrapText="1"/>
    </xf>
    <xf numFmtId="49" fontId="7" fillId="0" borderId="126" xfId="0" applyNumberFormat="1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41" fontId="0" fillId="0" borderId="72" xfId="86" applyFont="1" applyFill="1" applyBorder="1" applyAlignment="1">
      <alignment vertical="center"/>
    </xf>
    <xf numFmtId="0" fontId="46" fillId="0" borderId="72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 wrapText="1"/>
    </xf>
    <xf numFmtId="177" fontId="0" fillId="0" borderId="31" xfId="86" applyNumberFormat="1" applyFont="1" applyFill="1" applyBorder="1" applyAlignment="1">
      <alignment vertical="center"/>
    </xf>
    <xf numFmtId="177" fontId="0" fillId="0" borderId="87" xfId="86" applyNumberFormat="1" applyFont="1" applyFill="1" applyBorder="1" applyAlignment="1">
      <alignment vertical="center"/>
    </xf>
    <xf numFmtId="0" fontId="6" fillId="0" borderId="157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41" fontId="0" fillId="0" borderId="60" xfId="86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177" fontId="0" fillId="0" borderId="14" xfId="86" applyNumberFormat="1" applyFill="1" applyBorder="1" applyAlignment="1">
      <alignment vertical="center"/>
    </xf>
    <xf numFmtId="41" fontId="0" fillId="0" borderId="14" xfId="86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0" xfId="86" applyNumberFormat="1" applyFont="1" applyFill="1" applyBorder="1" applyAlignment="1">
      <alignment horizontal="center" vertical="center"/>
    </xf>
    <xf numFmtId="177" fontId="0" fillId="0" borderId="158" xfId="86" applyNumberFormat="1" applyFont="1" applyBorder="1" applyAlignment="1">
      <alignment vertical="center"/>
    </xf>
    <xf numFmtId="0" fontId="0" fillId="0" borderId="158" xfId="0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/>
    </xf>
    <xf numFmtId="177" fontId="5" fillId="0" borderId="158" xfId="86" applyNumberFormat="1" applyFont="1" applyFill="1" applyBorder="1" applyAlignment="1">
      <alignment vertical="center"/>
    </xf>
    <xf numFmtId="0" fontId="0" fillId="0" borderId="159" xfId="0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 wrapText="1"/>
    </xf>
    <xf numFmtId="0" fontId="0" fillId="0" borderId="22" xfId="0" applyBorder="1" applyAlignment="1">
      <alignment horizontal="center" vertical="center"/>
    </xf>
    <xf numFmtId="41" fontId="6" fillId="0" borderId="149" xfId="86" applyFont="1" applyFill="1" applyBorder="1" applyAlignment="1">
      <alignment horizontal="left"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73" xfId="0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distributed" vertical="center"/>
    </xf>
    <xf numFmtId="41" fontId="0" fillId="0" borderId="23" xfId="0" applyNumberFormat="1" applyFont="1" applyFill="1" applyBorder="1" applyAlignment="1">
      <alignment horizontal="right" vertical="center" wrapText="1"/>
    </xf>
    <xf numFmtId="41" fontId="0" fillId="0" borderId="19" xfId="86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32" xfId="86" applyNumberFormat="1" applyFont="1" applyFill="1" applyBorder="1" applyAlignment="1">
      <alignment vertical="center"/>
    </xf>
    <xf numFmtId="41" fontId="5" fillId="0" borderId="12" xfId="86" applyNumberFormat="1" applyFont="1" applyFill="1" applyBorder="1" applyAlignment="1">
      <alignment vertical="center"/>
    </xf>
    <xf numFmtId="177" fontId="5" fillId="0" borderId="19" xfId="86" applyNumberFormat="1" applyFont="1" applyFill="1" applyBorder="1" applyAlignment="1">
      <alignment horizontal="right" vertical="center"/>
    </xf>
    <xf numFmtId="177" fontId="5" fillId="0" borderId="24" xfId="86" applyNumberFormat="1" applyFont="1" applyFill="1" applyBorder="1" applyAlignment="1">
      <alignment horizontal="right" vertical="center"/>
    </xf>
    <xf numFmtId="177" fontId="5" fillId="0" borderId="68" xfId="86" applyNumberFormat="1" applyFont="1" applyFill="1" applyBorder="1" applyAlignment="1">
      <alignment horizontal="right" vertical="center"/>
    </xf>
    <xf numFmtId="3" fontId="6" fillId="0" borderId="72" xfId="86" applyNumberFormat="1" applyFont="1" applyFill="1" applyBorder="1" applyAlignment="1">
      <alignment horizontal="left" vertical="center"/>
    </xf>
    <xf numFmtId="41" fontId="6" fillId="0" borderId="72" xfId="86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vertical="center"/>
    </xf>
    <xf numFmtId="0" fontId="6" fillId="0" borderId="160" xfId="0" applyFont="1" applyFill="1" applyBorder="1" applyAlignment="1">
      <alignment vertical="center"/>
    </xf>
    <xf numFmtId="41" fontId="0" fillId="0" borderId="150" xfId="86" applyFont="1" applyFill="1" applyBorder="1" applyAlignment="1">
      <alignment vertical="center"/>
    </xf>
    <xf numFmtId="0" fontId="18" fillId="0" borderId="0" xfId="138" applyFont="1" applyAlignment="1">
      <alignment horizontal="centerContinuous" vertical="center" wrapText="1"/>
      <protection/>
    </xf>
    <xf numFmtId="41" fontId="22" fillId="0" borderId="35" xfId="88" applyFont="1" applyBorder="1" applyAlignment="1">
      <alignment horizontal="center" vertical="center"/>
    </xf>
    <xf numFmtId="41" fontId="20" fillId="0" borderId="35" xfId="88" applyFont="1" applyBorder="1" applyAlignment="1">
      <alignment horizontal="center" vertical="center"/>
    </xf>
    <xf numFmtId="41" fontId="22" fillId="0" borderId="52" xfId="88" applyFont="1" applyBorder="1" applyAlignment="1">
      <alignment horizontal="center" vertical="center"/>
    </xf>
    <xf numFmtId="41" fontId="15" fillId="0" borderId="35" xfId="88" applyFont="1" applyBorder="1" applyAlignment="1">
      <alignment horizontal="center" vertical="center" wrapText="1"/>
    </xf>
    <xf numFmtId="41" fontId="15" fillId="0" borderId="52" xfId="88" applyFont="1" applyBorder="1" applyAlignment="1">
      <alignment horizontal="center" vertical="center" wrapText="1"/>
    </xf>
    <xf numFmtId="0" fontId="0" fillId="0" borderId="0" xfId="126">
      <alignment vertical="center"/>
      <protection/>
    </xf>
    <xf numFmtId="0" fontId="9" fillId="0" borderId="0" xfId="126" applyFont="1">
      <alignment vertical="center"/>
      <protection/>
    </xf>
    <xf numFmtId="0" fontId="6" fillId="0" borderId="0" xfId="126" applyFont="1" applyAlignment="1">
      <alignment horizontal="right" vertical="center"/>
      <protection/>
    </xf>
    <xf numFmtId="0" fontId="0" fillId="0" borderId="35" xfId="126" applyBorder="1" applyAlignment="1">
      <alignment horizontal="center" vertical="center"/>
      <protection/>
    </xf>
    <xf numFmtId="0" fontId="0" fillId="0" borderId="37" xfId="126" applyBorder="1" applyAlignment="1">
      <alignment horizontal="center" vertical="center"/>
      <protection/>
    </xf>
    <xf numFmtId="179" fontId="0" fillId="0" borderId="12" xfId="126" applyNumberFormat="1" applyFont="1" applyBorder="1" applyAlignment="1">
      <alignment horizontal="right" vertical="center" wrapText="1"/>
      <protection/>
    </xf>
    <xf numFmtId="0" fontId="0" fillId="0" borderId="52" xfId="126" applyBorder="1" applyAlignment="1">
      <alignment horizontal="center" vertical="center"/>
      <protection/>
    </xf>
    <xf numFmtId="41" fontId="0" fillId="0" borderId="52" xfId="87" applyFont="1" applyBorder="1" applyAlignment="1">
      <alignment horizontal="center" vertical="center"/>
    </xf>
    <xf numFmtId="179" fontId="0" fillId="0" borderId="52" xfId="126" applyNumberFormat="1" applyFont="1" applyBorder="1" applyAlignment="1">
      <alignment horizontal="right" vertical="center" wrapText="1"/>
      <protection/>
    </xf>
    <xf numFmtId="41" fontId="0" fillId="0" borderId="37" xfId="87" applyFont="1" applyBorder="1" applyAlignment="1">
      <alignment horizontal="center" vertical="center"/>
    </xf>
    <xf numFmtId="176" fontId="0" fillId="0" borderId="37" xfId="126" applyNumberFormat="1" applyFont="1" applyBorder="1" applyAlignment="1">
      <alignment horizontal="center" vertical="center"/>
      <protection/>
    </xf>
    <xf numFmtId="0" fontId="3" fillId="0" borderId="126" xfId="126" applyFont="1" applyBorder="1">
      <alignment vertical="center"/>
      <protection/>
    </xf>
    <xf numFmtId="41" fontId="0" fillId="0" borderId="35" xfId="87" applyFont="1" applyBorder="1" applyAlignment="1">
      <alignment horizontal="center" vertical="center"/>
    </xf>
    <xf numFmtId="176" fontId="0" fillId="0" borderId="35" xfId="126" applyNumberFormat="1" applyFont="1" applyBorder="1" applyAlignment="1">
      <alignment horizontal="center" vertical="center"/>
      <protection/>
    </xf>
    <xf numFmtId="176" fontId="0" fillId="0" borderId="35" xfId="87" applyNumberFormat="1" applyFont="1" applyBorder="1" applyAlignment="1">
      <alignment horizontal="center" vertical="center"/>
    </xf>
    <xf numFmtId="179" fontId="0" fillId="0" borderId="35" xfId="126" applyNumberFormat="1" applyFont="1" applyBorder="1" applyAlignment="1">
      <alignment horizontal="right" vertical="center" wrapText="1"/>
      <protection/>
    </xf>
    <xf numFmtId="176" fontId="3" fillId="0" borderId="56" xfId="126" applyNumberFormat="1" applyFont="1" applyBorder="1" applyAlignment="1">
      <alignment horizontal="left" vertical="center"/>
      <protection/>
    </xf>
    <xf numFmtId="176" fontId="3" fillId="0" borderId="161" xfId="126" applyNumberFormat="1" applyFont="1" applyBorder="1" applyAlignment="1">
      <alignment horizontal="left" vertical="center"/>
      <protection/>
    </xf>
    <xf numFmtId="41" fontId="0" fillId="25" borderId="58" xfId="87" applyFont="1" applyFill="1" applyBorder="1" applyAlignment="1">
      <alignment horizontal="center" vertical="center"/>
    </xf>
    <xf numFmtId="176" fontId="0" fillId="24" borderId="58" xfId="126" applyNumberFormat="1" applyFont="1" applyFill="1" applyBorder="1" applyAlignment="1">
      <alignment horizontal="center" vertical="center"/>
      <protection/>
    </xf>
    <xf numFmtId="179" fontId="0" fillId="0" borderId="58" xfId="126" applyNumberFormat="1" applyFont="1" applyBorder="1" applyAlignment="1">
      <alignment horizontal="right" vertical="center" wrapText="1"/>
      <protection/>
    </xf>
    <xf numFmtId="176" fontId="3" fillId="24" borderId="107" xfId="126" applyNumberFormat="1" applyFont="1" applyFill="1" applyBorder="1" applyAlignment="1">
      <alignment horizontal="center" vertical="center"/>
      <protection/>
    </xf>
    <xf numFmtId="41" fontId="0" fillId="0" borderId="0" xfId="126" applyNumberFormat="1">
      <alignment vertical="center"/>
      <protection/>
    </xf>
    <xf numFmtId="0" fontId="3" fillId="0" borderId="0" xfId="126" applyFont="1">
      <alignment vertical="center"/>
      <protection/>
    </xf>
    <xf numFmtId="176" fontId="0" fillId="0" borderId="52" xfId="126" applyNumberFormat="1" applyFont="1" applyBorder="1" applyAlignment="1">
      <alignment horizontal="center" vertical="center"/>
      <protection/>
    </xf>
    <xf numFmtId="0" fontId="3" fillId="0" borderId="44" xfId="126" applyFont="1" applyBorder="1">
      <alignment vertical="center"/>
      <protection/>
    </xf>
    <xf numFmtId="0" fontId="3" fillId="0" borderId="36" xfId="126" applyFont="1" applyBorder="1">
      <alignment vertical="center"/>
      <protection/>
    </xf>
    <xf numFmtId="0" fontId="3" fillId="0" borderId="36" xfId="126" applyFont="1" applyBorder="1" applyAlignment="1">
      <alignment vertical="center" wrapText="1"/>
      <protection/>
    </xf>
    <xf numFmtId="176" fontId="3" fillId="25" borderId="36" xfId="126" applyNumberFormat="1" applyFont="1" applyFill="1" applyBorder="1" applyAlignment="1">
      <alignment horizontal="left" vertical="center"/>
      <protection/>
    </xf>
    <xf numFmtId="176" fontId="3" fillId="25" borderId="36" xfId="87" applyNumberFormat="1" applyFont="1" applyFill="1" applyBorder="1" applyAlignment="1">
      <alignment horizontal="left" vertical="center"/>
    </xf>
    <xf numFmtId="0" fontId="0" fillId="0" borderId="52" xfId="126" applyFont="1" applyBorder="1" applyAlignment="1">
      <alignment horizontal="center" vertical="center"/>
      <protection/>
    </xf>
    <xf numFmtId="177" fontId="20" fillId="0" borderId="35" xfId="86" applyNumberFormat="1" applyFont="1" applyBorder="1" applyAlignment="1">
      <alignment vertical="center"/>
    </xf>
    <xf numFmtId="0" fontId="9" fillId="0" borderId="0" xfId="137" applyFont="1">
      <alignment vertical="center"/>
      <protection/>
    </xf>
    <xf numFmtId="0" fontId="17" fillId="0" borderId="0" xfId="137" applyFont="1">
      <alignment vertical="center"/>
      <protection/>
    </xf>
    <xf numFmtId="0" fontId="17" fillId="0" borderId="0" xfId="137" applyFont="1" applyAlignment="1">
      <alignment horizontal="center" vertical="center"/>
      <protection/>
    </xf>
    <xf numFmtId="180" fontId="17" fillId="0" borderId="0" xfId="137" applyNumberFormat="1" applyFont="1">
      <alignment vertical="center"/>
      <protection/>
    </xf>
    <xf numFmtId="191" fontId="0" fillId="0" borderId="23" xfId="86" applyNumberFormat="1" applyFont="1" applyFill="1" applyBorder="1" applyAlignment="1">
      <alignment vertical="center"/>
    </xf>
    <xf numFmtId="0" fontId="6" fillId="0" borderId="151" xfId="86" applyNumberFormat="1" applyFont="1" applyFill="1" applyBorder="1" applyAlignment="1">
      <alignment horizontal="left" vertical="center"/>
    </xf>
    <xf numFmtId="0" fontId="12" fillId="0" borderId="41" xfId="86" applyNumberFormat="1" applyFont="1" applyFill="1" applyBorder="1" applyAlignment="1">
      <alignment horizontal="left" vertical="center"/>
    </xf>
    <xf numFmtId="0" fontId="12" fillId="0" borderId="41" xfId="86" applyNumberFormat="1" applyFont="1" applyFill="1" applyBorder="1" applyAlignment="1">
      <alignment vertical="center"/>
    </xf>
    <xf numFmtId="41" fontId="0" fillId="0" borderId="79" xfId="86" applyFont="1" applyFill="1" applyBorder="1" applyAlignment="1">
      <alignment vertical="center"/>
    </xf>
    <xf numFmtId="0" fontId="6" fillId="0" borderId="41" xfId="86" applyNumberFormat="1" applyFont="1" applyFill="1" applyBorder="1" applyAlignment="1">
      <alignment horizontal="left" vertical="center"/>
    </xf>
    <xf numFmtId="41" fontId="6" fillId="0" borderId="162" xfId="86" applyFont="1" applyFill="1" applyBorder="1" applyAlignment="1">
      <alignment horizontal="left" vertical="center"/>
    </xf>
    <xf numFmtId="0" fontId="0" fillId="0" borderId="68" xfId="0" applyFont="1" applyBorder="1" applyAlignment="1">
      <alignment horizontal="distributed" vertical="center"/>
    </xf>
    <xf numFmtId="177" fontId="0" fillId="0" borderId="68" xfId="86" applyNumberFormat="1" applyFont="1" applyBorder="1" applyAlignment="1">
      <alignment vertical="center"/>
    </xf>
    <xf numFmtId="0" fontId="0" fillId="0" borderId="68" xfId="0" applyFont="1" applyBorder="1" applyAlignment="1">
      <alignment horizontal="distributed" vertical="center" wrapText="1"/>
    </xf>
    <xf numFmtId="0" fontId="0" fillId="0" borderId="76" xfId="0" applyFont="1" applyBorder="1" applyAlignment="1">
      <alignment horizontal="distributed" vertical="center"/>
    </xf>
    <xf numFmtId="177" fontId="0" fillId="0" borderId="68" xfId="86" applyNumberFormat="1" applyFont="1" applyFill="1" applyBorder="1" applyAlignment="1">
      <alignment vertical="center"/>
    </xf>
    <xf numFmtId="177" fontId="0" fillId="0" borderId="163" xfId="86" applyNumberFormat="1" applyFont="1" applyBorder="1" applyAlignment="1">
      <alignment vertical="center"/>
    </xf>
    <xf numFmtId="0" fontId="0" fillId="0" borderId="163" xfId="0" applyBorder="1" applyAlignment="1">
      <alignment horizontal="distributed" vertical="center"/>
    </xf>
    <xf numFmtId="0" fontId="0" fillId="0" borderId="164" xfId="0" applyBorder="1" applyAlignment="1">
      <alignment horizontal="distributed" vertical="center"/>
    </xf>
    <xf numFmtId="0" fontId="6" fillId="0" borderId="153" xfId="0" applyFont="1" applyFill="1" applyBorder="1" applyAlignment="1">
      <alignment vertical="center"/>
    </xf>
    <xf numFmtId="10" fontId="0" fillId="0" borderId="0" xfId="86" applyNumberFormat="1" applyAlignment="1">
      <alignment vertical="center"/>
    </xf>
    <xf numFmtId="0" fontId="6" fillId="0" borderId="165" xfId="0" applyFont="1" applyFill="1" applyBorder="1" applyAlignment="1">
      <alignment vertical="center"/>
    </xf>
    <xf numFmtId="177" fontId="0" fillId="0" borderId="163" xfId="86" applyNumberFormat="1" applyFont="1" applyFill="1" applyBorder="1" applyAlignment="1">
      <alignment vertical="center"/>
    </xf>
    <xf numFmtId="177" fontId="5" fillId="0" borderId="163" xfId="86" applyNumberFormat="1" applyFont="1" applyFill="1" applyBorder="1" applyAlignment="1">
      <alignment vertical="center"/>
    </xf>
    <xf numFmtId="0" fontId="0" fillId="0" borderId="163" xfId="0" applyFont="1" applyBorder="1" applyAlignment="1">
      <alignment horizontal="distributed" vertical="center"/>
    </xf>
    <xf numFmtId="0" fontId="0" fillId="0" borderId="163" xfId="0" applyBorder="1" applyAlignment="1">
      <alignment horizontal="distributed" vertical="center" wrapText="1"/>
    </xf>
    <xf numFmtId="0" fontId="0" fillId="0" borderId="166" xfId="0" applyBorder="1" applyAlignment="1">
      <alignment horizontal="distributed" vertical="center" wrapText="1"/>
    </xf>
    <xf numFmtId="0" fontId="0" fillId="0" borderId="68" xfId="0" applyFont="1" applyBorder="1" applyAlignment="1">
      <alignment horizontal="distributed" vertical="center" wrapText="1"/>
    </xf>
    <xf numFmtId="41" fontId="0" fillId="0" borderId="37" xfId="87" applyFont="1" applyFill="1" applyBorder="1" applyAlignment="1">
      <alignment horizontal="center" vertical="center"/>
    </xf>
    <xf numFmtId="0" fontId="3" fillId="0" borderId="94" xfId="126" applyFont="1" applyBorder="1">
      <alignment vertical="center"/>
      <protection/>
    </xf>
    <xf numFmtId="176" fontId="3" fillId="25" borderId="167" xfId="126" applyNumberFormat="1" applyFont="1" applyFill="1" applyBorder="1" applyAlignment="1">
      <alignment horizontal="left" vertical="center"/>
      <protection/>
    </xf>
    <xf numFmtId="0" fontId="0" fillId="0" borderId="0" xfId="126" applyFill="1">
      <alignment vertical="center"/>
      <protection/>
    </xf>
    <xf numFmtId="0" fontId="0" fillId="0" borderId="38" xfId="126" applyFont="1" applyFill="1" applyBorder="1" applyAlignment="1">
      <alignment horizontal="center" vertical="center" wrapText="1"/>
      <protection/>
    </xf>
    <xf numFmtId="0" fontId="0" fillId="0" borderId="168" xfId="126" applyFont="1" applyFill="1" applyBorder="1" applyAlignment="1">
      <alignment horizontal="center" vertical="center" wrapText="1"/>
      <protection/>
    </xf>
    <xf numFmtId="179" fontId="6" fillId="0" borderId="52" xfId="126" applyNumberFormat="1" applyFont="1" applyFill="1" applyBorder="1" applyAlignment="1">
      <alignment horizontal="right" vertical="center" wrapText="1"/>
      <protection/>
    </xf>
    <xf numFmtId="179" fontId="6" fillId="0" borderId="169" xfId="126" applyNumberFormat="1" applyFont="1" applyFill="1" applyBorder="1" applyAlignment="1">
      <alignment horizontal="right" vertical="center" wrapText="1"/>
      <protection/>
    </xf>
    <xf numFmtId="41" fontId="6" fillId="0" borderId="35" xfId="87" applyFont="1" applyFill="1" applyBorder="1" applyAlignment="1">
      <alignment horizontal="center" vertical="center"/>
    </xf>
    <xf numFmtId="179" fontId="6" fillId="0" borderId="11" xfId="126" applyNumberFormat="1" applyFont="1" applyFill="1" applyBorder="1" applyAlignment="1">
      <alignment horizontal="right" vertical="center" wrapText="1"/>
      <protection/>
    </xf>
    <xf numFmtId="179" fontId="6" fillId="0" borderId="0" xfId="126" applyNumberFormat="1" applyFont="1" applyFill="1" applyBorder="1" applyAlignment="1">
      <alignment horizontal="right" vertical="center" wrapText="1"/>
      <protection/>
    </xf>
    <xf numFmtId="179" fontId="6" fillId="0" borderId="58" xfId="126" applyNumberFormat="1" applyFont="1" applyFill="1" applyBorder="1" applyAlignment="1">
      <alignment horizontal="right" vertical="center" wrapText="1"/>
      <protection/>
    </xf>
    <xf numFmtId="41" fontId="0" fillId="0" borderId="0" xfId="126" applyNumberFormat="1" applyFill="1">
      <alignment vertical="center"/>
      <protection/>
    </xf>
    <xf numFmtId="176" fontId="6" fillId="0" borderId="36" xfId="126" applyNumberFormat="1" applyFont="1" applyFill="1" applyBorder="1" applyAlignment="1">
      <alignment horizontal="left" vertical="center" wrapText="1"/>
      <protection/>
    </xf>
    <xf numFmtId="176" fontId="6" fillId="0" borderId="95" xfId="126" applyNumberFormat="1" applyFont="1" applyFill="1" applyBorder="1" applyAlignment="1">
      <alignment horizontal="left" vertical="center" wrapText="1"/>
      <protection/>
    </xf>
    <xf numFmtId="0" fontId="65" fillId="0" borderId="52" xfId="126" applyFont="1" applyFill="1" applyBorder="1" applyAlignment="1">
      <alignment horizontal="center" vertical="center"/>
      <protection/>
    </xf>
    <xf numFmtId="176" fontId="65" fillId="0" borderId="35" xfId="87" applyNumberFormat="1" applyFont="1" applyFill="1" applyBorder="1" applyAlignment="1">
      <alignment horizontal="center" vertical="center"/>
    </xf>
    <xf numFmtId="176" fontId="65" fillId="0" borderId="52" xfId="126" applyNumberFormat="1" applyFont="1" applyFill="1" applyBorder="1" applyAlignment="1">
      <alignment horizontal="center" vertical="center"/>
      <protection/>
    </xf>
    <xf numFmtId="176" fontId="6" fillId="0" borderId="35" xfId="126" applyNumberFormat="1" applyFont="1" applyFill="1" applyBorder="1" applyAlignment="1">
      <alignment horizontal="left" vertical="center"/>
      <protection/>
    </xf>
    <xf numFmtId="176" fontId="6" fillId="0" borderId="35" xfId="126" applyNumberFormat="1" applyFont="1" applyFill="1" applyBorder="1" applyAlignment="1">
      <alignment horizontal="center" vertical="center"/>
      <protection/>
    </xf>
    <xf numFmtId="176" fontId="6" fillId="0" borderId="37" xfId="126" applyNumberFormat="1" applyFont="1" applyFill="1" applyBorder="1" applyAlignment="1">
      <alignment horizontal="center" vertical="center"/>
      <protection/>
    </xf>
    <xf numFmtId="176" fontId="6" fillId="0" borderId="58" xfId="126" applyNumberFormat="1" applyFont="1" applyFill="1" applyBorder="1" applyAlignment="1">
      <alignment horizontal="center" vertical="center"/>
      <protection/>
    </xf>
    <xf numFmtId="0" fontId="0" fillId="0" borderId="38" xfId="126" applyFill="1" applyBorder="1" applyAlignment="1">
      <alignment horizontal="center" vertical="center" wrapText="1"/>
      <protection/>
    </xf>
    <xf numFmtId="41" fontId="6" fillId="0" borderId="43" xfId="98" applyFont="1" applyFill="1" applyBorder="1" applyAlignment="1">
      <alignment horizontal="left" vertical="center" wrapText="1"/>
    </xf>
    <xf numFmtId="177" fontId="6" fillId="0" borderId="53" xfId="98" applyNumberFormat="1" applyFont="1" applyFill="1" applyBorder="1" applyAlignment="1">
      <alignment horizontal="right" vertical="center" wrapText="1"/>
    </xf>
    <xf numFmtId="41" fontId="6" fillId="0" borderId="52" xfId="98" applyFont="1" applyFill="1" applyBorder="1" applyAlignment="1">
      <alignment horizontal="left" vertical="center" wrapText="1"/>
    </xf>
    <xf numFmtId="41" fontId="6" fillId="0" borderId="53" xfId="98" applyFont="1" applyFill="1" applyBorder="1" applyAlignment="1">
      <alignment horizontal="left" vertical="center" wrapText="1"/>
    </xf>
    <xf numFmtId="179" fontId="6" fillId="0" borderId="35" xfId="126" applyNumberFormat="1" applyFont="1" applyFill="1" applyBorder="1" applyAlignment="1">
      <alignment horizontal="left" vertical="center" wrapText="1"/>
      <protection/>
    </xf>
    <xf numFmtId="41" fontId="6" fillId="0" borderId="35" xfId="98" applyFont="1" applyFill="1" applyBorder="1" applyAlignment="1">
      <alignment horizontal="left" vertical="center" wrapText="1"/>
    </xf>
    <xf numFmtId="41" fontId="6" fillId="0" borderId="55" xfId="98" applyFont="1" applyFill="1" applyBorder="1" applyAlignment="1">
      <alignment horizontal="left" vertical="center" wrapText="1"/>
    </xf>
    <xf numFmtId="179" fontId="6" fillId="0" borderId="52" xfId="126" applyNumberFormat="1" applyFont="1" applyFill="1" applyBorder="1" applyAlignment="1">
      <alignment horizontal="left" vertical="center" wrapText="1"/>
      <protection/>
    </xf>
    <xf numFmtId="179" fontId="6" fillId="0" borderId="53" xfId="126" applyNumberFormat="1" applyFont="1" applyFill="1" applyBorder="1" applyAlignment="1">
      <alignment horizontal="right" vertical="center" wrapText="1"/>
      <protection/>
    </xf>
    <xf numFmtId="179" fontId="6" fillId="0" borderId="35" xfId="126" applyNumberFormat="1" applyFont="1" applyFill="1" applyBorder="1" applyAlignment="1">
      <alignment horizontal="right" vertical="center" wrapText="1"/>
      <protection/>
    </xf>
    <xf numFmtId="179" fontId="6" fillId="0" borderId="55" xfId="126" applyNumberFormat="1" applyFont="1" applyFill="1" applyBorder="1" applyAlignment="1">
      <alignment horizontal="right" vertical="center" wrapText="1"/>
      <protection/>
    </xf>
    <xf numFmtId="41" fontId="6" fillId="0" borderId="170" xfId="98" applyFont="1" applyFill="1" applyBorder="1" applyAlignment="1">
      <alignment horizontal="left" vertical="center" wrapText="1"/>
    </xf>
    <xf numFmtId="41" fontId="6" fillId="0" borderId="169" xfId="98" applyFont="1" applyFill="1" applyBorder="1" applyAlignment="1">
      <alignment horizontal="left" vertical="center" wrapText="1"/>
    </xf>
    <xf numFmtId="41" fontId="6" fillId="0" borderId="35" xfId="98" applyFont="1" applyFill="1" applyBorder="1" applyAlignment="1">
      <alignment horizontal="left" vertical="center"/>
    </xf>
    <xf numFmtId="41" fontId="6" fillId="0" borderId="170" xfId="98" applyFont="1" applyFill="1" applyBorder="1" applyAlignment="1">
      <alignment horizontal="left" vertical="center"/>
    </xf>
    <xf numFmtId="179" fontId="6" fillId="0" borderId="52" xfId="126" applyNumberFormat="1" applyFont="1" applyFill="1" applyBorder="1" applyAlignment="1">
      <alignment horizontal="center" vertical="center" wrapText="1"/>
      <protection/>
    </xf>
    <xf numFmtId="179" fontId="6" fillId="0" borderId="12" xfId="126" applyNumberFormat="1" applyFont="1" applyFill="1" applyBorder="1" applyAlignment="1">
      <alignment horizontal="left" vertical="center" wrapText="1"/>
      <protection/>
    </xf>
    <xf numFmtId="179" fontId="0" fillId="0" borderId="58" xfId="126" applyNumberFormat="1" applyFont="1" applyFill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center" vertical="center"/>
    </xf>
    <xf numFmtId="41" fontId="0" fillId="0" borderId="52" xfId="87" applyFont="1" applyFill="1" applyBorder="1" applyAlignment="1">
      <alignment horizontal="center" vertical="center"/>
    </xf>
    <xf numFmtId="176" fontId="0" fillId="0" borderId="52" xfId="126" applyNumberFormat="1" applyFont="1" applyFill="1" applyBorder="1" applyAlignment="1">
      <alignment horizontal="center" vertical="center"/>
      <protection/>
    </xf>
    <xf numFmtId="176" fontId="0" fillId="0" borderId="37" xfId="126" applyNumberFormat="1" applyFont="1" applyFill="1" applyBorder="1" applyAlignment="1">
      <alignment horizontal="center" vertical="center"/>
      <protection/>
    </xf>
    <xf numFmtId="41" fontId="0" fillId="0" borderId="35" xfId="87" applyFont="1" applyFill="1" applyBorder="1" applyAlignment="1">
      <alignment horizontal="center" vertical="center"/>
    </xf>
    <xf numFmtId="176" fontId="0" fillId="0" borderId="35" xfId="126" applyNumberFormat="1" applyFont="1" applyFill="1" applyBorder="1" applyAlignment="1">
      <alignment horizontal="center" vertical="center"/>
      <protection/>
    </xf>
    <xf numFmtId="0" fontId="0" fillId="0" borderId="52" xfId="126" applyFont="1" applyFill="1" applyBorder="1" applyAlignment="1">
      <alignment horizontal="center" vertical="center"/>
      <protection/>
    </xf>
    <xf numFmtId="176" fontId="0" fillId="0" borderId="35" xfId="87" applyNumberFormat="1" applyFont="1" applyFill="1" applyBorder="1" applyAlignment="1">
      <alignment horizontal="center" vertical="center"/>
    </xf>
    <xf numFmtId="41" fontId="0" fillId="0" borderId="58" xfId="87" applyFont="1" applyFill="1" applyBorder="1" applyAlignment="1">
      <alignment horizontal="center" vertical="center"/>
    </xf>
    <xf numFmtId="9" fontId="0" fillId="0" borderId="58" xfId="126" applyNumberFormat="1" applyFont="1" applyFill="1" applyBorder="1" applyAlignment="1">
      <alignment horizontal="center" vertical="center"/>
      <protection/>
    </xf>
    <xf numFmtId="179" fontId="0" fillId="0" borderId="12" xfId="126" applyNumberFormat="1" applyFont="1" applyFill="1" applyBorder="1" applyAlignment="1" quotePrefix="1">
      <alignment horizontal="right" vertical="center" wrapText="1"/>
      <protection/>
    </xf>
    <xf numFmtId="176" fontId="0" fillId="0" borderId="52" xfId="126" applyNumberFormat="1" applyFill="1" applyBorder="1" applyAlignment="1">
      <alignment horizontal="center" vertical="center"/>
      <protection/>
    </xf>
    <xf numFmtId="179" fontId="0" fillId="0" borderId="52" xfId="126" applyNumberFormat="1" applyFont="1" applyFill="1" applyBorder="1" applyAlignment="1" quotePrefix="1">
      <alignment horizontal="right" vertical="center" wrapText="1"/>
      <protection/>
    </xf>
    <xf numFmtId="176" fontId="0" fillId="0" borderId="37" xfId="126" applyNumberFormat="1" applyFill="1" applyBorder="1" applyAlignment="1">
      <alignment horizontal="center" vertical="center"/>
      <protection/>
    </xf>
    <xf numFmtId="176" fontId="0" fillId="0" borderId="35" xfId="126" applyNumberFormat="1" applyFill="1" applyBorder="1" applyAlignment="1">
      <alignment horizontal="center" vertical="center"/>
      <protection/>
    </xf>
    <xf numFmtId="179" fontId="0" fillId="0" borderId="35" xfId="126" applyNumberFormat="1" applyFont="1" applyFill="1" applyBorder="1" applyAlignment="1" quotePrefix="1">
      <alignment horizontal="right" vertical="center" wrapText="1"/>
      <protection/>
    </xf>
    <xf numFmtId="0" fontId="0" fillId="0" borderId="52" xfId="126" applyFill="1" applyBorder="1" applyAlignment="1">
      <alignment horizontal="center" vertical="center"/>
      <protection/>
    </xf>
    <xf numFmtId="179" fontId="0" fillId="0" borderId="52" xfId="126" applyNumberFormat="1" applyFont="1" applyFill="1" applyBorder="1" applyAlignment="1">
      <alignment horizontal="center" vertical="center" wrapText="1"/>
      <protection/>
    </xf>
    <xf numFmtId="176" fontId="0" fillId="0" borderId="35" xfId="87" applyNumberFormat="1" applyFill="1" applyBorder="1" applyAlignment="1">
      <alignment horizontal="center" vertical="center"/>
    </xf>
    <xf numFmtId="176" fontId="0" fillId="0" borderId="58" xfId="126" applyNumberFormat="1" applyFill="1" applyBorder="1" applyAlignment="1">
      <alignment horizontal="center" vertical="center"/>
      <protection/>
    </xf>
    <xf numFmtId="179" fontId="0" fillId="0" borderId="58" xfId="126" applyNumberFormat="1" applyFont="1" applyFill="1" applyBorder="1" applyAlignment="1" quotePrefix="1">
      <alignment horizontal="right" vertical="center" wrapText="1"/>
      <protection/>
    </xf>
    <xf numFmtId="0" fontId="0" fillId="0" borderId="0" xfId="126" applyFill="1" applyAlignment="1">
      <alignment vertical="center"/>
      <protection/>
    </xf>
    <xf numFmtId="176" fontId="0" fillId="0" borderId="95" xfId="126" applyNumberFormat="1" applyFont="1" applyFill="1" applyBorder="1" applyAlignment="1">
      <alignment horizontal="center" vertical="center"/>
      <protection/>
    </xf>
    <xf numFmtId="176" fontId="0" fillId="0" borderId="48" xfId="126" applyNumberFormat="1" applyFont="1" applyFill="1" applyBorder="1" applyAlignment="1">
      <alignment horizontal="center" vertical="center"/>
      <protection/>
    </xf>
    <xf numFmtId="176" fontId="0" fillId="0" borderId="48" xfId="87" applyNumberFormat="1" applyFont="1" applyFill="1" applyBorder="1" applyAlignment="1">
      <alignment horizontal="center" vertical="center"/>
    </xf>
    <xf numFmtId="176" fontId="0" fillId="0" borderId="171" xfId="126" applyNumberFormat="1" applyFont="1" applyFill="1" applyBorder="1" applyAlignment="1">
      <alignment horizontal="center" vertical="center"/>
      <protection/>
    </xf>
    <xf numFmtId="9" fontId="0" fillId="0" borderId="172" xfId="126" applyNumberFormat="1" applyFont="1" applyFill="1" applyBorder="1" applyAlignment="1">
      <alignment horizontal="center" vertical="center"/>
      <protection/>
    </xf>
    <xf numFmtId="41" fontId="6" fillId="0" borderId="155" xfId="86" applyFont="1" applyFill="1" applyBorder="1" applyAlignment="1">
      <alignment horizontal="center" vertical="center"/>
    </xf>
    <xf numFmtId="41" fontId="6" fillId="0" borderId="154" xfId="86" applyFont="1" applyFill="1" applyBorder="1" applyAlignment="1">
      <alignment horizontal="right" vertical="center"/>
    </xf>
    <xf numFmtId="41" fontId="6" fillId="0" borderId="162" xfId="86" applyFont="1" applyFill="1" applyBorder="1" applyAlignment="1">
      <alignment horizontal="right" vertical="center"/>
    </xf>
    <xf numFmtId="41" fontId="6" fillId="0" borderId="154" xfId="86" applyFont="1" applyFill="1" applyBorder="1" applyAlignment="1">
      <alignment horizontal="center" vertical="center"/>
    </xf>
    <xf numFmtId="41" fontId="6" fillId="0" borderId="154" xfId="86" applyFont="1" applyFill="1" applyBorder="1" applyAlignment="1">
      <alignment horizontal="left" vertical="center"/>
    </xf>
    <xf numFmtId="41" fontId="6" fillId="0" borderId="61" xfId="86" applyFont="1" applyFill="1" applyBorder="1" applyAlignment="1">
      <alignment horizontal="left" vertical="center"/>
    </xf>
    <xf numFmtId="41" fontId="6" fillId="0" borderId="61" xfId="86" applyFont="1" applyFill="1" applyBorder="1" applyAlignment="1">
      <alignment horizontal="right" vertical="center"/>
    </xf>
    <xf numFmtId="41" fontId="0" fillId="0" borderId="0" xfId="86" applyFont="1" applyFill="1" applyBorder="1" applyAlignment="1">
      <alignment horizontal="center" vertical="center"/>
    </xf>
    <xf numFmtId="41" fontId="0" fillId="0" borderId="126" xfId="8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vertical="center" wrapText="1"/>
    </xf>
    <xf numFmtId="0" fontId="6" fillId="0" borderId="150" xfId="86" applyNumberFormat="1" applyFont="1" applyFill="1" applyBorder="1" applyAlignment="1">
      <alignment vertical="center"/>
    </xf>
    <xf numFmtId="0" fontId="6" fillId="0" borderId="0" xfId="86" applyNumberFormat="1" applyFont="1" applyFill="1" applyBorder="1" applyAlignment="1">
      <alignment horizontal="left" vertical="center"/>
    </xf>
    <xf numFmtId="0" fontId="6" fillId="0" borderId="150" xfId="86" applyNumberFormat="1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horizontal="left" vertical="center" wrapText="1"/>
    </xf>
    <xf numFmtId="3" fontId="6" fillId="0" borderId="126" xfId="0" applyNumberFormat="1" applyFont="1" applyFill="1" applyBorder="1" applyAlignment="1">
      <alignment horizontal="right" vertical="center" wrapText="1"/>
    </xf>
    <xf numFmtId="0" fontId="6" fillId="0" borderId="173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123" applyNumberFormat="1" applyFont="1" applyFill="1" applyBorder="1" applyAlignment="1">
      <alignment horizontal="right" vertical="center"/>
    </xf>
    <xf numFmtId="3" fontId="6" fillId="0" borderId="126" xfId="123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61" xfId="86" applyNumberFormat="1" applyFont="1" applyFill="1" applyBorder="1" applyAlignment="1">
      <alignment horizontal="left" vertical="center"/>
    </xf>
    <xf numFmtId="0" fontId="7" fillId="0" borderId="0" xfId="86" applyNumberFormat="1" applyFont="1" applyFill="1" applyBorder="1" applyAlignment="1">
      <alignment horizontal="left" vertical="center"/>
    </xf>
    <xf numFmtId="41" fontId="7" fillId="0" borderId="0" xfId="86" applyFont="1" applyFill="1" applyBorder="1" applyAlignment="1">
      <alignment horizontal="right" vertical="center"/>
    </xf>
    <xf numFmtId="177" fontId="6" fillId="0" borderId="0" xfId="86" applyNumberFormat="1" applyFont="1" applyFill="1" applyBorder="1" applyAlignment="1">
      <alignment vertical="center"/>
    </xf>
    <xf numFmtId="0" fontId="0" fillId="0" borderId="148" xfId="0" applyFont="1" applyFill="1" applyBorder="1" applyAlignment="1">
      <alignment vertical="center"/>
    </xf>
    <xf numFmtId="0" fontId="6" fillId="0" borderId="126" xfId="0" applyFont="1" applyFill="1" applyBorder="1" applyAlignment="1">
      <alignment vertical="center" wrapText="1"/>
    </xf>
    <xf numFmtId="0" fontId="6" fillId="0" borderId="174" xfId="0" applyFont="1" applyFill="1" applyBorder="1" applyAlignment="1">
      <alignment vertical="center"/>
    </xf>
    <xf numFmtId="3" fontId="6" fillId="0" borderId="126" xfId="0" applyNumberFormat="1" applyFont="1" applyFill="1" applyBorder="1" applyAlignment="1">
      <alignment horizontal="right" vertical="center"/>
    </xf>
    <xf numFmtId="0" fontId="6" fillId="0" borderId="152" xfId="86" applyNumberFormat="1" applyFont="1" applyFill="1" applyBorder="1" applyAlignment="1">
      <alignment horizontal="left" vertical="center"/>
    </xf>
    <xf numFmtId="41" fontId="7" fillId="0" borderId="61" xfId="86" applyFont="1" applyFill="1" applyBorder="1" applyAlignment="1">
      <alignment horizontal="right" vertical="center"/>
    </xf>
    <xf numFmtId="41" fontId="6" fillId="0" borderId="149" xfId="86" applyFont="1" applyFill="1" applyBorder="1" applyAlignment="1">
      <alignment vertical="center" wrapText="1"/>
    </xf>
    <xf numFmtId="0" fontId="0" fillId="0" borderId="175" xfId="0" applyBorder="1" applyAlignment="1">
      <alignment horizontal="distributed" vertical="center"/>
    </xf>
    <xf numFmtId="0" fontId="6" fillId="0" borderId="83" xfId="0" applyFont="1" applyFill="1" applyBorder="1" applyAlignment="1">
      <alignment vertical="center" wrapText="1"/>
    </xf>
    <xf numFmtId="0" fontId="0" fillId="0" borderId="175" xfId="0" applyBorder="1" applyAlignment="1">
      <alignment horizontal="distributed" vertical="center" wrapText="1"/>
    </xf>
    <xf numFmtId="0" fontId="0" fillId="0" borderId="68" xfId="0" applyBorder="1" applyAlignment="1">
      <alignment horizontal="left" vertical="center"/>
    </xf>
    <xf numFmtId="0" fontId="0" fillId="0" borderId="154" xfId="0" applyFont="1" applyFill="1" applyBorder="1" applyAlignment="1">
      <alignment vertical="center"/>
    </xf>
    <xf numFmtId="0" fontId="0" fillId="0" borderId="166" xfId="0" applyFont="1" applyBorder="1" applyAlignment="1">
      <alignment horizontal="distributed" vertical="center"/>
    </xf>
    <xf numFmtId="0" fontId="0" fillId="0" borderId="163" xfId="0" applyFont="1" applyBorder="1" applyAlignment="1">
      <alignment horizontal="distributed" vertical="center"/>
    </xf>
    <xf numFmtId="41" fontId="0" fillId="0" borderId="163" xfId="86" applyFont="1" applyFill="1" applyBorder="1" applyAlignment="1">
      <alignment vertical="center"/>
    </xf>
    <xf numFmtId="41" fontId="6" fillId="0" borderId="176" xfId="86" applyFont="1" applyFill="1" applyBorder="1" applyAlignment="1">
      <alignment vertical="center"/>
    </xf>
    <xf numFmtId="41" fontId="6" fillId="0" borderId="177" xfId="86" applyFont="1" applyFill="1" applyBorder="1" applyAlignment="1">
      <alignment vertical="center"/>
    </xf>
    <xf numFmtId="0" fontId="6" fillId="0" borderId="154" xfId="0" applyFont="1" applyFill="1" applyBorder="1" applyAlignment="1">
      <alignment vertical="center"/>
    </xf>
    <xf numFmtId="0" fontId="6" fillId="0" borderId="177" xfId="86" applyNumberFormat="1" applyFont="1" applyFill="1" applyBorder="1" applyAlignment="1">
      <alignment vertical="center"/>
    </xf>
    <xf numFmtId="41" fontId="6" fillId="0" borderId="177" xfId="86" applyFont="1" applyFill="1" applyBorder="1" applyAlignment="1">
      <alignment horizontal="right" vertical="center"/>
    </xf>
    <xf numFmtId="41" fontId="6" fillId="0" borderId="178" xfId="86" applyFont="1" applyFill="1" applyBorder="1" applyAlignment="1">
      <alignment horizontal="right" vertical="center"/>
    </xf>
    <xf numFmtId="0" fontId="0" fillId="0" borderId="163" xfId="0" applyFont="1" applyFill="1" applyBorder="1" applyAlignment="1">
      <alignment vertical="center"/>
    </xf>
    <xf numFmtId="0" fontId="0" fillId="0" borderId="163" xfId="0" applyFont="1" applyBorder="1" applyAlignment="1">
      <alignment vertical="center"/>
    </xf>
    <xf numFmtId="0" fontId="6" fillId="0" borderId="177" xfId="0" applyFont="1" applyFill="1" applyBorder="1" applyAlignment="1">
      <alignment vertical="center"/>
    </xf>
    <xf numFmtId="41" fontId="0" fillId="0" borderId="177" xfId="86" applyFont="1" applyFill="1" applyBorder="1" applyAlignment="1">
      <alignment vertical="center"/>
    </xf>
    <xf numFmtId="0" fontId="0" fillId="0" borderId="177" xfId="0" applyFont="1" applyFill="1" applyBorder="1" applyAlignment="1">
      <alignment vertical="center"/>
    </xf>
    <xf numFmtId="41" fontId="0" fillId="0" borderId="179" xfId="86" applyFont="1" applyFill="1" applyBorder="1" applyAlignment="1">
      <alignment vertical="center"/>
    </xf>
    <xf numFmtId="41" fontId="0" fillId="0" borderId="153" xfId="86" applyFont="1" applyFill="1" applyBorder="1" applyAlignment="1">
      <alignment vertical="center"/>
    </xf>
    <xf numFmtId="0" fontId="0" fillId="0" borderId="154" xfId="86" applyNumberFormat="1" applyFont="1" applyFill="1" applyBorder="1" applyAlignment="1">
      <alignment vertical="center"/>
    </xf>
    <xf numFmtId="41" fontId="0" fillId="0" borderId="154" xfId="86" applyFont="1" applyFill="1" applyBorder="1" applyAlignment="1">
      <alignment vertical="center"/>
    </xf>
    <xf numFmtId="177" fontId="0" fillId="0" borderId="68" xfId="86" applyNumberFormat="1" applyFont="1" applyFill="1" applyBorder="1" applyAlignment="1">
      <alignment horizontal="right" vertical="center" wrapText="1"/>
    </xf>
    <xf numFmtId="177" fontId="0" fillId="0" borderId="68" xfId="86" applyNumberFormat="1" applyFont="1" applyBorder="1" applyAlignment="1">
      <alignment horizontal="right" vertical="center" wrapText="1"/>
    </xf>
    <xf numFmtId="0" fontId="0" fillId="0" borderId="175" xfId="0" applyFont="1" applyBorder="1" applyAlignment="1">
      <alignment horizontal="distributed" vertical="center"/>
    </xf>
    <xf numFmtId="41" fontId="0" fillId="0" borderId="163" xfId="0" applyNumberFormat="1" applyFont="1" applyFill="1" applyBorder="1" applyAlignment="1">
      <alignment horizontal="distributed" vertical="center"/>
    </xf>
    <xf numFmtId="41" fontId="0" fillId="0" borderId="163" xfId="86" applyNumberFormat="1" applyFont="1" applyFill="1" applyBorder="1" applyAlignment="1">
      <alignment horizontal="right" vertical="center"/>
    </xf>
    <xf numFmtId="41" fontId="0" fillId="0" borderId="163" xfId="86" applyNumberFormat="1" applyFont="1" applyBorder="1" applyAlignment="1">
      <alignment horizontal="right" vertical="center"/>
    </xf>
    <xf numFmtId="41" fontId="0" fillId="25" borderId="163" xfId="86" applyNumberFormat="1" applyFont="1" applyFill="1" applyBorder="1" applyAlignment="1">
      <alignment vertical="center"/>
    </xf>
    <xf numFmtId="41" fontId="0" fillId="0" borderId="163" xfId="86" applyNumberFormat="1" applyFont="1" applyFill="1" applyBorder="1" applyAlignment="1">
      <alignment vertical="center"/>
    </xf>
    <xf numFmtId="177" fontId="0" fillId="0" borderId="165" xfId="86" applyNumberFormat="1" applyFont="1" applyBorder="1" applyAlignment="1">
      <alignment vertical="center"/>
    </xf>
    <xf numFmtId="41" fontId="0" fillId="0" borderId="68" xfId="86" applyNumberFormat="1" applyFont="1" applyFill="1" applyBorder="1" applyAlignment="1">
      <alignment horizontal="right" vertical="center"/>
    </xf>
    <xf numFmtId="41" fontId="0" fillId="24" borderId="68" xfId="86" applyNumberFormat="1" applyFont="1" applyFill="1" applyBorder="1" applyAlignment="1">
      <alignment horizontal="right" vertical="center"/>
    </xf>
    <xf numFmtId="41" fontId="0" fillId="25" borderId="68" xfId="86" applyNumberFormat="1" applyFont="1" applyFill="1" applyBorder="1" applyAlignment="1">
      <alignment vertical="center"/>
    </xf>
    <xf numFmtId="177" fontId="0" fillId="0" borderId="83" xfId="86" applyNumberFormat="1" applyFont="1" applyBorder="1" applyAlignment="1">
      <alignment vertical="center"/>
    </xf>
    <xf numFmtId="41" fontId="0" fillId="0" borderId="68" xfId="0" applyNumberFormat="1" applyFont="1" applyFill="1" applyBorder="1" applyAlignment="1">
      <alignment horizontal="distributed" vertical="center" wrapText="1"/>
    </xf>
    <xf numFmtId="41" fontId="0" fillId="0" borderId="68" xfId="86" applyNumberFormat="1" applyFont="1" applyFill="1" applyBorder="1" applyAlignment="1">
      <alignment horizontal="right" vertical="center" wrapText="1"/>
    </xf>
    <xf numFmtId="41" fontId="0" fillId="0" borderId="68" xfId="86" applyNumberFormat="1" applyFont="1" applyBorder="1" applyAlignment="1">
      <alignment horizontal="right" vertical="center" wrapText="1"/>
    </xf>
    <xf numFmtId="41" fontId="0" fillId="0" borderId="68" xfId="86" applyNumberFormat="1" applyFont="1" applyBorder="1" applyAlignment="1">
      <alignment horizontal="right" vertical="center"/>
    </xf>
    <xf numFmtId="0" fontId="0" fillId="0" borderId="164" xfId="0" applyFont="1" applyBorder="1" applyAlignment="1">
      <alignment horizontal="distributed" vertical="center"/>
    </xf>
    <xf numFmtId="0" fontId="0" fillId="0" borderId="15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0" xfId="0" applyFont="1" applyBorder="1" applyAlignment="1">
      <alignment horizontal="distributed" vertical="center" wrapText="1"/>
    </xf>
    <xf numFmtId="0" fontId="0" fillId="0" borderId="117" xfId="0" applyFont="1" applyBorder="1" applyAlignment="1">
      <alignment horizontal="distributed" vertical="center" wrapText="1"/>
    </xf>
    <xf numFmtId="0" fontId="0" fillId="0" borderId="117" xfId="0" applyFont="1" applyBorder="1" applyAlignment="1">
      <alignment horizontal="distributed" vertical="center"/>
    </xf>
    <xf numFmtId="177" fontId="5" fillId="0" borderId="117" xfId="86" applyNumberFormat="1" applyFont="1" applyFill="1" applyBorder="1" applyAlignment="1">
      <alignment horizontal="right" vertical="center"/>
    </xf>
    <xf numFmtId="177" fontId="5" fillId="25" borderId="117" xfId="86" applyNumberFormat="1" applyFont="1" applyFill="1" applyBorder="1" applyAlignment="1">
      <alignment horizontal="right" vertical="center"/>
    </xf>
    <xf numFmtId="177" fontId="0" fillId="0" borderId="181" xfId="86" applyNumberFormat="1" applyFont="1" applyBorder="1" applyAlignment="1">
      <alignment horizontal="right" vertical="center"/>
    </xf>
    <xf numFmtId="41" fontId="0" fillId="0" borderId="117" xfId="86" applyNumberFormat="1" applyFont="1" applyFill="1" applyBorder="1" applyAlignment="1">
      <alignment vertical="center"/>
    </xf>
    <xf numFmtId="41" fontId="0" fillId="24" borderId="117" xfId="86" applyNumberFormat="1" applyFont="1" applyFill="1" applyBorder="1" applyAlignment="1">
      <alignment horizontal="right" vertical="center"/>
    </xf>
    <xf numFmtId="41" fontId="0" fillId="25" borderId="117" xfId="86" applyNumberFormat="1" applyFont="1" applyFill="1" applyBorder="1" applyAlignment="1">
      <alignment vertical="center"/>
    </xf>
    <xf numFmtId="177" fontId="0" fillId="0" borderId="181" xfId="86" applyNumberFormat="1" applyFont="1" applyBorder="1" applyAlignment="1">
      <alignment vertical="center"/>
    </xf>
    <xf numFmtId="0" fontId="0" fillId="0" borderId="26" xfId="0" applyBorder="1" applyAlignment="1">
      <alignment horizontal="distributed" vertical="center" wrapText="1"/>
    </xf>
    <xf numFmtId="0" fontId="0" fillId="0" borderId="182" xfId="0" applyFont="1" applyBorder="1" applyAlignment="1">
      <alignment horizontal="distributed" vertical="center" wrapText="1"/>
    </xf>
    <xf numFmtId="0" fontId="0" fillId="0" borderId="183" xfId="0" applyFont="1" applyBorder="1" applyAlignment="1">
      <alignment horizontal="distributed" vertical="center" wrapText="1"/>
    </xf>
    <xf numFmtId="0" fontId="0" fillId="0" borderId="183" xfId="0" applyFont="1" applyBorder="1" applyAlignment="1">
      <alignment horizontal="distributed" vertical="center"/>
    </xf>
    <xf numFmtId="41" fontId="0" fillId="0" borderId="183" xfId="86" applyFont="1" applyFill="1" applyBorder="1" applyAlignment="1">
      <alignment vertical="center"/>
    </xf>
    <xf numFmtId="177" fontId="0" fillId="0" borderId="183" xfId="86" applyNumberFormat="1" applyFont="1" applyBorder="1" applyAlignment="1">
      <alignment vertical="center"/>
    </xf>
    <xf numFmtId="41" fontId="6" fillId="0" borderId="184" xfId="86" applyFont="1" applyFill="1" applyBorder="1" applyAlignment="1">
      <alignment vertical="center"/>
    </xf>
    <xf numFmtId="41" fontId="6" fillId="0" borderId="185" xfId="86" applyFont="1" applyFill="1" applyBorder="1" applyAlignment="1">
      <alignment vertical="center"/>
    </xf>
    <xf numFmtId="178" fontId="22" fillId="0" borderId="35" xfId="138" applyNumberFormat="1" applyFont="1" applyBorder="1" applyAlignment="1">
      <alignment horizontal="right" vertical="center"/>
      <protection/>
    </xf>
    <xf numFmtId="49" fontId="66" fillId="0" borderId="186" xfId="0" applyNumberFormat="1" applyFont="1" applyBorder="1" applyAlignment="1">
      <alignment horizontal="center" vertical="center" wrapText="1"/>
    </xf>
    <xf numFmtId="49" fontId="67" fillId="0" borderId="186" xfId="0" applyNumberFormat="1" applyFont="1" applyBorder="1" applyAlignment="1">
      <alignment vertical="center" wrapText="1"/>
    </xf>
    <xf numFmtId="177" fontId="67" fillId="0" borderId="186" xfId="0" applyNumberFormat="1" applyFont="1" applyBorder="1" applyAlignment="1">
      <alignment horizontal="center" vertical="center" wrapText="1"/>
    </xf>
    <xf numFmtId="177" fontId="67" fillId="0" borderId="186" xfId="0" applyNumberFormat="1" applyFont="1" applyBorder="1" applyAlignment="1">
      <alignment horizontal="right" vertical="center" wrapText="1"/>
    </xf>
    <xf numFmtId="0" fontId="0" fillId="0" borderId="186" xfId="0" applyBorder="1" applyAlignment="1">
      <alignment/>
    </xf>
    <xf numFmtId="177" fontId="48" fillId="24" borderId="0" xfId="0" applyNumberFormat="1" applyFont="1" applyFill="1" applyAlignment="1">
      <alignment/>
    </xf>
    <xf numFmtId="3" fontId="48" fillId="24" borderId="0" xfId="0" applyNumberFormat="1" applyFont="1" applyFill="1" applyAlignment="1">
      <alignment/>
    </xf>
    <xf numFmtId="41" fontId="6" fillId="0" borderId="154" xfId="86" applyFont="1" applyFill="1" applyBorder="1" applyAlignment="1">
      <alignment horizontal="left" vertical="center"/>
    </xf>
    <xf numFmtId="41" fontId="6" fillId="0" borderId="154" xfId="86" applyFont="1" applyFill="1" applyBorder="1" applyAlignment="1">
      <alignment horizontal="right" vertical="center"/>
    </xf>
    <xf numFmtId="41" fontId="6" fillId="0" borderId="162" xfId="86" applyFont="1" applyFill="1" applyBorder="1" applyAlignment="1">
      <alignment horizontal="right" vertical="center"/>
    </xf>
    <xf numFmtId="0" fontId="6" fillId="0" borderId="150" xfId="0" applyFont="1" applyFill="1" applyBorder="1" applyAlignment="1">
      <alignment horizontal="left" vertical="center"/>
    </xf>
    <xf numFmtId="41" fontId="6" fillId="0" borderId="177" xfId="86" applyFont="1" applyFill="1" applyBorder="1" applyAlignment="1">
      <alignment horizontal="right" vertical="center"/>
    </xf>
    <xf numFmtId="41" fontId="6" fillId="0" borderId="178" xfId="86" applyFont="1" applyFill="1" applyBorder="1" applyAlignment="1">
      <alignment horizontal="right" vertical="center"/>
    </xf>
    <xf numFmtId="41" fontId="6" fillId="0" borderId="154" xfId="86" applyFont="1" applyFill="1" applyBorder="1" applyAlignment="1">
      <alignment horizontal="center" vertical="center"/>
    </xf>
    <xf numFmtId="41" fontId="6" fillId="0" borderId="155" xfId="86" applyFont="1" applyFill="1" applyBorder="1" applyAlignment="1">
      <alignment horizontal="center" vertical="center"/>
    </xf>
    <xf numFmtId="41" fontId="6" fillId="0" borderId="126" xfId="86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left" vertical="center" wrapText="1"/>
    </xf>
    <xf numFmtId="41" fontId="6" fillId="0" borderId="154" xfId="86" applyFont="1" applyFill="1" applyBorder="1" applyAlignment="1">
      <alignment horizontal="left" vertical="center"/>
    </xf>
    <xf numFmtId="176" fontId="6" fillId="0" borderId="52" xfId="126" applyNumberFormat="1" applyFont="1" applyFill="1" applyBorder="1" applyAlignment="1">
      <alignment vertical="center" wrapText="1"/>
      <protection/>
    </xf>
    <xf numFmtId="0" fontId="0" fillId="0" borderId="179" xfId="0" applyFont="1" applyBorder="1" applyAlignment="1">
      <alignment horizontal="distributed" vertical="center"/>
    </xf>
    <xf numFmtId="177" fontId="0" fillId="0" borderId="187" xfId="86" applyNumberFormat="1" applyFont="1" applyBorder="1" applyAlignment="1">
      <alignment vertical="center"/>
    </xf>
    <xf numFmtId="0" fontId="22" fillId="0" borderId="0" xfId="137" applyFont="1">
      <alignment vertical="center"/>
      <protection/>
    </xf>
    <xf numFmtId="0" fontId="22" fillId="0" borderId="0" xfId="137" applyFont="1" applyFill="1" applyAlignment="1">
      <alignment horizontal="left" vertical="center"/>
      <protection/>
    </xf>
    <xf numFmtId="0" fontId="22" fillId="0" borderId="0" xfId="137" applyFont="1" applyFill="1">
      <alignment vertical="center"/>
      <protection/>
    </xf>
    <xf numFmtId="0" fontId="22" fillId="0" borderId="35" xfId="137" applyFont="1" applyBorder="1" applyAlignment="1">
      <alignment horizontal="center" vertical="center" wrapText="1"/>
      <protection/>
    </xf>
    <xf numFmtId="0" fontId="22" fillId="0" borderId="35" xfId="137" applyFont="1" applyBorder="1" applyAlignment="1">
      <alignment horizontal="center" vertical="center"/>
      <protection/>
    </xf>
    <xf numFmtId="0" fontId="22" fillId="0" borderId="35" xfId="137" applyFont="1" applyBorder="1" applyAlignment="1">
      <alignment vertical="center"/>
      <protection/>
    </xf>
    <xf numFmtId="41" fontId="22" fillId="0" borderId="35" xfId="87" applyFont="1" applyBorder="1" applyAlignment="1">
      <alignment vertical="center"/>
    </xf>
    <xf numFmtId="0" fontId="22" fillId="0" borderId="36" xfId="137" applyFont="1" applyBorder="1" applyAlignment="1">
      <alignment vertical="center"/>
      <protection/>
    </xf>
    <xf numFmtId="41" fontId="22" fillId="0" borderId="35" xfId="87" applyFont="1" applyBorder="1" applyAlignment="1">
      <alignment horizontal="center" vertical="center"/>
    </xf>
    <xf numFmtId="0" fontId="22" fillId="0" borderId="37" xfId="137" applyFont="1" applyBorder="1" applyAlignment="1">
      <alignment horizontal="center" vertical="center"/>
      <protection/>
    </xf>
    <xf numFmtId="41" fontId="22" fillId="0" borderId="36" xfId="137" applyNumberFormat="1" applyFont="1" applyBorder="1" applyAlignment="1">
      <alignment vertical="center"/>
      <protection/>
    </xf>
    <xf numFmtId="0" fontId="22" fillId="0" borderId="52" xfId="137" applyFont="1" applyBorder="1" applyAlignment="1">
      <alignment vertical="center"/>
      <protection/>
    </xf>
    <xf numFmtId="0" fontId="22" fillId="0" borderId="37" xfId="137" applyFont="1" applyBorder="1" applyAlignment="1">
      <alignment vertical="center"/>
      <protection/>
    </xf>
    <xf numFmtId="41" fontId="22" fillId="0" borderId="37" xfId="87" applyFont="1" applyBorder="1" applyAlignment="1">
      <alignment horizontal="center" vertical="center"/>
    </xf>
    <xf numFmtId="0" fontId="22" fillId="0" borderId="62" xfId="137" applyFont="1" applyBorder="1" applyAlignment="1">
      <alignment vertical="center"/>
      <protection/>
    </xf>
    <xf numFmtId="0" fontId="22" fillId="0" borderId="38" xfId="137" applyFont="1" applyBorder="1" applyAlignment="1">
      <alignment horizontal="center" vertical="center"/>
      <protection/>
    </xf>
    <xf numFmtId="0" fontId="22" fillId="0" borderId="38" xfId="137" applyFont="1" applyBorder="1" applyAlignment="1">
      <alignment vertical="center"/>
      <protection/>
    </xf>
    <xf numFmtId="41" fontId="22" fillId="0" borderId="38" xfId="87" applyFont="1" applyBorder="1" applyAlignment="1">
      <alignment vertical="center"/>
    </xf>
    <xf numFmtId="0" fontId="22" fillId="0" borderId="39" xfId="137" applyFont="1" applyBorder="1" applyAlignment="1">
      <alignment vertical="center"/>
      <protection/>
    </xf>
    <xf numFmtId="0" fontId="22" fillId="0" borderId="0" xfId="137" applyFont="1" applyBorder="1" applyAlignment="1">
      <alignment horizontal="center" vertical="center"/>
      <protection/>
    </xf>
    <xf numFmtId="0" fontId="22" fillId="0" borderId="0" xfId="137" applyFont="1" applyBorder="1" applyAlignment="1">
      <alignment vertical="center"/>
      <protection/>
    </xf>
    <xf numFmtId="41" fontId="22" fillId="0" borderId="0" xfId="87" applyFont="1" applyBorder="1" applyAlignment="1">
      <alignment vertical="center"/>
    </xf>
    <xf numFmtId="0" fontId="22" fillId="0" borderId="0" xfId="137" applyFont="1" applyAlignment="1">
      <alignment horizontal="center" vertical="center"/>
      <protection/>
    </xf>
    <xf numFmtId="0" fontId="68" fillId="0" borderId="36" xfId="137" applyFont="1" applyBorder="1" applyAlignment="1">
      <alignment vertical="center"/>
      <protection/>
    </xf>
    <xf numFmtId="49" fontId="68" fillId="0" borderId="36" xfId="137" applyNumberFormat="1" applyFont="1" applyBorder="1" applyAlignment="1">
      <alignment vertical="center" wrapText="1"/>
      <protection/>
    </xf>
    <xf numFmtId="0" fontId="22" fillId="0" borderId="57" xfId="137" applyFont="1" applyBorder="1">
      <alignment vertical="center"/>
      <protection/>
    </xf>
    <xf numFmtId="0" fontId="22" fillId="0" borderId="58" xfId="137" applyFont="1" applyBorder="1">
      <alignment vertical="center"/>
      <protection/>
    </xf>
    <xf numFmtId="41" fontId="22" fillId="0" borderId="58" xfId="87" applyFont="1" applyBorder="1" applyAlignment="1">
      <alignment vertical="center"/>
    </xf>
    <xf numFmtId="41" fontId="22" fillId="0" borderId="58" xfId="137" applyNumberFormat="1" applyFont="1" applyBorder="1">
      <alignment vertical="center"/>
      <protection/>
    </xf>
    <xf numFmtId="0" fontId="22" fillId="0" borderId="97" xfId="137" applyFont="1" applyBorder="1">
      <alignment vertical="center"/>
      <protection/>
    </xf>
    <xf numFmtId="41" fontId="22" fillId="0" borderId="0" xfId="86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00" fontId="6" fillId="0" borderId="0" xfId="0" applyNumberFormat="1" applyFont="1" applyAlignment="1">
      <alignment horizontal="right"/>
    </xf>
    <xf numFmtId="49" fontId="67" fillId="0" borderId="186" xfId="129" applyNumberFormat="1" applyFont="1" applyBorder="1" applyAlignment="1">
      <alignment vertical="center" wrapText="1"/>
      <protection/>
    </xf>
    <xf numFmtId="177" fontId="67" fillId="0" borderId="186" xfId="129" applyNumberFormat="1" applyFont="1" applyBorder="1" applyAlignment="1">
      <alignment horizontal="center" vertical="center" wrapText="1"/>
      <protection/>
    </xf>
    <xf numFmtId="177" fontId="67" fillId="0" borderId="186" xfId="129" applyNumberFormat="1" applyFont="1" applyBorder="1" applyAlignment="1">
      <alignment horizontal="right" vertical="center" wrapText="1"/>
      <protection/>
    </xf>
    <xf numFmtId="177" fontId="67" fillId="0" borderId="186" xfId="0" applyNumberFormat="1" applyFont="1" applyFill="1" applyBorder="1" applyAlignment="1">
      <alignment horizontal="right" vertical="center" wrapText="1"/>
    </xf>
    <xf numFmtId="200" fontId="0" fillId="0" borderId="186" xfId="0" applyNumberFormat="1" applyBorder="1" applyAlignment="1">
      <alignment/>
    </xf>
    <xf numFmtId="0" fontId="65" fillId="0" borderId="186" xfId="0" applyFont="1" applyBorder="1" applyAlignment="1">
      <alignment horizontal="center" vertical="center"/>
    </xf>
    <xf numFmtId="177" fontId="65" fillId="0" borderId="186" xfId="0" applyNumberFormat="1" applyFont="1" applyBorder="1" applyAlignment="1">
      <alignment horizontal="center" vertical="center"/>
    </xf>
    <xf numFmtId="177" fontId="65" fillId="0" borderId="186" xfId="0" applyNumberFormat="1" applyFont="1" applyBorder="1" applyAlignment="1">
      <alignment vertical="center"/>
    </xf>
    <xf numFmtId="177" fontId="65" fillId="0" borderId="186" xfId="0" applyNumberFormat="1" applyFont="1" applyBorder="1" applyAlignment="1">
      <alignment horizontal="right" vertical="center"/>
    </xf>
    <xf numFmtId="177" fontId="70" fillId="0" borderId="186" xfId="0" applyNumberFormat="1" applyFont="1" applyFill="1" applyBorder="1" applyAlignment="1">
      <alignment horizontal="right" vertical="center" wrapText="1"/>
    </xf>
    <xf numFmtId="200" fontId="65" fillId="0" borderId="186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177" fontId="70" fillId="0" borderId="186" xfId="0" applyNumberFormat="1" applyFont="1" applyBorder="1" applyAlignment="1">
      <alignment horizontal="right" vertical="center" wrapText="1"/>
    </xf>
    <xf numFmtId="0" fontId="9" fillId="0" borderId="186" xfId="0" applyFont="1" applyBorder="1" applyAlignment="1">
      <alignment horizontal="center" vertical="center"/>
    </xf>
    <xf numFmtId="41" fontId="65" fillId="0" borderId="186" xfId="86" applyFont="1" applyBorder="1" applyAlignment="1">
      <alignment horizontal="right" vertical="center"/>
    </xf>
    <xf numFmtId="200" fontId="0" fillId="0" borderId="186" xfId="0" applyNumberFormat="1" applyBorder="1" applyAlignment="1">
      <alignment vertical="center"/>
    </xf>
    <xf numFmtId="200" fontId="0" fillId="0" borderId="0" xfId="0" applyNumberFormat="1" applyAlignment="1">
      <alignment/>
    </xf>
    <xf numFmtId="41" fontId="0" fillId="0" borderId="0" xfId="97" applyFont="1" applyAlignment="1">
      <alignment vertical="center"/>
    </xf>
    <xf numFmtId="41" fontId="10" fillId="0" borderId="0" xfId="97" applyFont="1" applyAlignment="1">
      <alignment horizontal="center"/>
    </xf>
    <xf numFmtId="41" fontId="47" fillId="0" borderId="0" xfId="97" applyFont="1" applyAlignment="1">
      <alignment vertical="center"/>
    </xf>
    <xf numFmtId="41" fontId="6" fillId="0" borderId="0" xfId="97" applyFont="1" applyAlignment="1">
      <alignment horizontal="right" vertical="center"/>
    </xf>
    <xf numFmtId="41" fontId="0" fillId="24" borderId="35" xfId="97" applyFont="1" applyFill="1" applyBorder="1" applyAlignment="1">
      <alignment horizontal="center" vertical="center"/>
    </xf>
    <xf numFmtId="41" fontId="6" fillId="0" borderId="35" xfId="97" applyFont="1" applyFill="1" applyBorder="1" applyAlignment="1">
      <alignment vertical="center"/>
    </xf>
    <xf numFmtId="41" fontId="0" fillId="0" borderId="35" xfId="97" applyFont="1" applyBorder="1" applyAlignment="1">
      <alignment vertical="center"/>
    </xf>
    <xf numFmtId="41" fontId="0" fillId="0" borderId="35" xfId="97" applyFont="1" applyBorder="1" applyAlignment="1">
      <alignment vertical="center"/>
    </xf>
    <xf numFmtId="41" fontId="0" fillId="0" borderId="35" xfId="97" applyFont="1" applyFill="1" applyBorder="1" applyAlignment="1">
      <alignment vertical="center"/>
    </xf>
    <xf numFmtId="41" fontId="47" fillId="0" borderId="0" xfId="97" applyFont="1" applyFill="1" applyAlignment="1">
      <alignment vertical="center"/>
    </xf>
    <xf numFmtId="41" fontId="0" fillId="0" borderId="35" xfId="97" applyFont="1" applyFill="1" applyBorder="1" applyAlignment="1">
      <alignment vertical="center"/>
    </xf>
    <xf numFmtId="41" fontId="9" fillId="0" borderId="35" xfId="97" applyFont="1" applyFill="1" applyBorder="1" applyAlignment="1">
      <alignment vertical="center"/>
    </xf>
    <xf numFmtId="41" fontId="0" fillId="0" borderId="0" xfId="97" applyFont="1" applyFill="1" applyAlignment="1">
      <alignment vertical="center"/>
    </xf>
    <xf numFmtId="0" fontId="24" fillId="0" borderId="0" xfId="137" applyFont="1" applyAlignment="1">
      <alignment horizontal="center"/>
      <protection/>
    </xf>
    <xf numFmtId="0" fontId="23" fillId="0" borderId="0" xfId="137" applyFont="1" applyAlignment="1">
      <alignment horizontal="center" wrapText="1"/>
      <protection/>
    </xf>
    <xf numFmtId="0" fontId="23" fillId="0" borderId="0" xfId="137" applyFont="1" applyAlignment="1">
      <alignment horizontal="center"/>
      <protection/>
    </xf>
    <xf numFmtId="0" fontId="25" fillId="0" borderId="0" xfId="137" applyFont="1" applyAlignment="1">
      <alignment horizontal="center"/>
      <protection/>
    </xf>
    <xf numFmtId="0" fontId="26" fillId="0" borderId="0" xfId="137" applyFont="1" applyAlignment="1">
      <alignment horizontal="center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188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41" fontId="0" fillId="0" borderId="37" xfId="87" applyFont="1" applyFill="1" applyBorder="1" applyAlignment="1">
      <alignment horizontal="center" vertical="center"/>
    </xf>
    <xf numFmtId="41" fontId="0" fillId="0" borderId="12" xfId="87" applyFont="1" applyFill="1" applyBorder="1" applyAlignment="1">
      <alignment horizontal="center" vertical="center"/>
    </xf>
    <xf numFmtId="41" fontId="0" fillId="0" borderId="52" xfId="87" applyFont="1" applyFill="1" applyBorder="1" applyAlignment="1">
      <alignment horizontal="center" vertical="center"/>
    </xf>
    <xf numFmtId="41" fontId="0" fillId="0" borderId="37" xfId="87" applyFont="1" applyBorder="1" applyAlignment="1">
      <alignment horizontal="center" vertical="center"/>
    </xf>
    <xf numFmtId="41" fontId="0" fillId="0" borderId="12" xfId="87" applyFont="1" applyBorder="1" applyAlignment="1">
      <alignment horizontal="center" vertical="center"/>
    </xf>
    <xf numFmtId="41" fontId="0" fillId="0" borderId="52" xfId="87" applyFont="1" applyBorder="1" applyAlignment="1">
      <alignment horizontal="center" vertical="center"/>
    </xf>
    <xf numFmtId="176" fontId="0" fillId="0" borderId="37" xfId="87" applyNumberFormat="1" applyFont="1" applyFill="1" applyBorder="1" applyAlignment="1">
      <alignment horizontal="center" vertical="center"/>
    </xf>
    <xf numFmtId="176" fontId="0" fillId="0" borderId="12" xfId="87" applyNumberFormat="1" applyFont="1" applyFill="1" applyBorder="1" applyAlignment="1">
      <alignment horizontal="center" vertical="center"/>
    </xf>
    <xf numFmtId="176" fontId="6" fillId="0" borderId="62" xfId="126" applyNumberFormat="1" applyFont="1" applyFill="1" applyBorder="1" applyAlignment="1">
      <alignment horizontal="left" vertical="center" wrapText="1"/>
      <protection/>
    </xf>
    <xf numFmtId="176" fontId="6" fillId="0" borderId="66" xfId="126" applyNumberFormat="1" applyFont="1" applyFill="1" applyBorder="1" applyAlignment="1">
      <alignment horizontal="left" vertical="center" wrapText="1"/>
      <protection/>
    </xf>
    <xf numFmtId="176" fontId="6" fillId="0" borderId="94" xfId="126" applyNumberFormat="1" applyFont="1" applyFill="1" applyBorder="1" applyAlignment="1">
      <alignment horizontal="left" vertical="center" wrapText="1"/>
      <protection/>
    </xf>
    <xf numFmtId="176" fontId="0" fillId="0" borderId="37" xfId="87" applyNumberFormat="1" applyFill="1" applyBorder="1" applyAlignment="1">
      <alignment horizontal="center" vertical="center"/>
    </xf>
    <xf numFmtId="176" fontId="0" fillId="0" borderId="12" xfId="87" applyNumberFormat="1" applyFill="1" applyBorder="1" applyAlignment="1">
      <alignment horizontal="center" vertical="center"/>
    </xf>
    <xf numFmtId="179" fontId="0" fillId="0" borderId="37" xfId="126" applyNumberFormat="1" applyFont="1" applyFill="1" applyBorder="1" applyAlignment="1" quotePrefix="1">
      <alignment horizontal="right" vertical="center" wrapText="1"/>
      <protection/>
    </xf>
    <xf numFmtId="179" fontId="0" fillId="0" borderId="12" xfId="126" applyNumberFormat="1" applyFont="1" applyFill="1" applyBorder="1" applyAlignment="1" quotePrefix="1">
      <alignment horizontal="right" vertical="center" wrapText="1"/>
      <protection/>
    </xf>
    <xf numFmtId="0" fontId="0" fillId="0" borderId="37" xfId="126" applyBorder="1" applyAlignment="1">
      <alignment horizontal="center" vertical="center"/>
      <protection/>
    </xf>
    <xf numFmtId="0" fontId="0" fillId="0" borderId="12" xfId="126" applyBorder="1" applyAlignment="1">
      <alignment horizontal="center" vertical="center"/>
      <protection/>
    </xf>
    <xf numFmtId="0" fontId="0" fillId="0" borderId="52" xfId="126" applyBorder="1" applyAlignment="1">
      <alignment horizontal="center" vertical="center"/>
      <protection/>
    </xf>
    <xf numFmtId="176" fontId="0" fillId="0" borderId="37" xfId="126" applyNumberFormat="1" applyFill="1" applyBorder="1" applyAlignment="1">
      <alignment horizontal="center" vertical="center"/>
      <protection/>
    </xf>
    <xf numFmtId="176" fontId="0" fillId="0" borderId="12" xfId="126" applyNumberFormat="1" applyFill="1" applyBorder="1" applyAlignment="1">
      <alignment horizontal="center" vertical="center"/>
      <protection/>
    </xf>
    <xf numFmtId="176" fontId="0" fillId="0" borderId="52" xfId="126" applyNumberFormat="1" applyFill="1" applyBorder="1" applyAlignment="1">
      <alignment horizontal="center" vertical="center"/>
      <protection/>
    </xf>
    <xf numFmtId="179" fontId="0" fillId="0" borderId="52" xfId="126" applyNumberFormat="1" applyFont="1" applyFill="1" applyBorder="1" applyAlignment="1" quotePrefix="1">
      <alignment horizontal="right" vertical="center" wrapText="1"/>
      <protection/>
    </xf>
    <xf numFmtId="0" fontId="0" fillId="0" borderId="35" xfId="126" applyFont="1" applyFill="1" applyBorder="1" applyAlignment="1">
      <alignment horizontal="center" vertical="center" wrapText="1"/>
      <protection/>
    </xf>
    <xf numFmtId="0" fontId="0" fillId="0" borderId="38" xfId="126" applyFont="1" applyFill="1" applyBorder="1" applyAlignment="1">
      <alignment horizontal="center" vertical="center"/>
      <protection/>
    </xf>
    <xf numFmtId="41" fontId="0" fillId="0" borderId="89" xfId="87" applyFont="1" applyFill="1" applyBorder="1" applyAlignment="1">
      <alignment horizontal="center" vertical="center"/>
    </xf>
    <xf numFmtId="0" fontId="0" fillId="0" borderId="35" xfId="126" applyFont="1" applyBorder="1" applyAlignment="1">
      <alignment horizontal="center" vertical="center" wrapText="1"/>
      <protection/>
    </xf>
    <xf numFmtId="0" fontId="0" fillId="0" borderId="38" xfId="126" applyFont="1" applyBorder="1" applyAlignment="1">
      <alignment horizontal="center" vertical="center"/>
      <protection/>
    </xf>
    <xf numFmtId="0" fontId="0" fillId="0" borderId="35" xfId="126" applyFont="1" applyFill="1" applyBorder="1" applyAlignment="1">
      <alignment horizontal="center" vertical="center" wrapText="1"/>
      <protection/>
    </xf>
    <xf numFmtId="0" fontId="0" fillId="0" borderId="45" xfId="126" applyBorder="1" applyAlignment="1">
      <alignment horizontal="center" vertical="center" wrapText="1"/>
      <protection/>
    </xf>
    <xf numFmtId="0" fontId="0" fillId="0" borderId="45" xfId="126" applyBorder="1" applyAlignment="1">
      <alignment horizontal="center" vertical="center"/>
      <protection/>
    </xf>
    <xf numFmtId="0" fontId="0" fillId="24" borderId="189" xfId="126" applyFill="1" applyBorder="1" applyAlignment="1">
      <alignment horizontal="center" vertical="center"/>
      <protection/>
    </xf>
    <xf numFmtId="0" fontId="0" fillId="24" borderId="59" xfId="126" applyFill="1" applyBorder="1" applyAlignment="1">
      <alignment horizontal="center" vertical="center"/>
      <protection/>
    </xf>
    <xf numFmtId="176" fontId="6" fillId="0" borderId="62" xfId="87" applyNumberFormat="1" applyFont="1" applyFill="1" applyBorder="1" applyAlignment="1">
      <alignment horizontal="left" vertical="center" wrapText="1"/>
    </xf>
    <xf numFmtId="176" fontId="6" fillId="0" borderId="66" xfId="87" applyNumberFormat="1" applyFont="1" applyFill="1" applyBorder="1" applyAlignment="1">
      <alignment horizontal="left" vertical="center" wrapText="1"/>
    </xf>
    <xf numFmtId="176" fontId="6" fillId="0" borderId="94" xfId="87" applyNumberFormat="1" applyFont="1" applyFill="1" applyBorder="1" applyAlignment="1">
      <alignment horizontal="left" vertical="center" wrapText="1"/>
    </xf>
    <xf numFmtId="0" fontId="0" fillId="0" borderId="63" xfId="126" applyBorder="1" applyAlignment="1">
      <alignment horizontal="center" vertical="center"/>
      <protection/>
    </xf>
    <xf numFmtId="0" fontId="0" fillId="0" borderId="63" xfId="126" applyBorder="1" applyAlignment="1">
      <alignment horizontal="center" vertical="center" wrapText="1"/>
      <protection/>
    </xf>
    <xf numFmtId="176" fontId="0" fillId="0" borderId="52" xfId="87" applyNumberFormat="1" applyFont="1" applyFill="1" applyBorder="1" applyAlignment="1">
      <alignment horizontal="center" vertical="center"/>
    </xf>
    <xf numFmtId="176" fontId="0" fillId="0" borderId="52" xfId="87" applyNumberFormat="1" applyFill="1" applyBorder="1" applyAlignment="1">
      <alignment horizontal="center" vertical="center"/>
    </xf>
    <xf numFmtId="176" fontId="0" fillId="0" borderId="37" xfId="87" applyNumberFormat="1" applyFont="1" applyBorder="1" applyAlignment="1">
      <alignment horizontal="center" vertical="center"/>
    </xf>
    <xf numFmtId="176" fontId="0" fillId="0" borderId="12" xfId="87" applyNumberFormat="1" applyFont="1" applyBorder="1" applyAlignment="1">
      <alignment horizontal="center" vertical="center"/>
    </xf>
    <xf numFmtId="176" fontId="0" fillId="0" borderId="52" xfId="87" applyNumberFormat="1" applyFont="1" applyBorder="1" applyAlignment="1">
      <alignment horizontal="center" vertical="center"/>
    </xf>
    <xf numFmtId="179" fontId="0" fillId="0" borderId="37" xfId="126" applyNumberFormat="1" applyFont="1" applyBorder="1" applyAlignment="1">
      <alignment horizontal="right" vertical="center" wrapText="1"/>
      <protection/>
    </xf>
    <xf numFmtId="179" fontId="0" fillId="0" borderId="12" xfId="126" applyNumberFormat="1" applyFont="1" applyBorder="1" applyAlignment="1">
      <alignment horizontal="right" vertical="center" wrapText="1"/>
      <protection/>
    </xf>
    <xf numFmtId="179" fontId="0" fillId="0" borderId="52" xfId="126" applyNumberFormat="1" applyFont="1" applyBorder="1" applyAlignment="1">
      <alignment horizontal="right" vertical="center" wrapText="1"/>
      <protection/>
    </xf>
    <xf numFmtId="176" fontId="0" fillId="0" borderId="37" xfId="126" applyNumberFormat="1" applyFont="1" applyBorder="1" applyAlignment="1">
      <alignment horizontal="center" vertical="center"/>
      <protection/>
    </xf>
    <xf numFmtId="176" fontId="0" fillId="0" borderId="12" xfId="126" applyNumberFormat="1" applyFont="1" applyBorder="1" applyAlignment="1">
      <alignment horizontal="center" vertical="center"/>
      <protection/>
    </xf>
    <xf numFmtId="176" fontId="0" fillId="0" borderId="52" xfId="126" applyNumberFormat="1" applyFont="1" applyBorder="1" applyAlignment="1">
      <alignment horizontal="center" vertical="center"/>
      <protection/>
    </xf>
    <xf numFmtId="176" fontId="0" fillId="0" borderId="37" xfId="126" applyNumberFormat="1" applyFont="1" applyFill="1" applyBorder="1" applyAlignment="1">
      <alignment horizontal="center" vertical="center"/>
      <protection/>
    </xf>
    <xf numFmtId="176" fontId="0" fillId="0" borderId="12" xfId="126" applyNumberFormat="1" applyFont="1" applyFill="1" applyBorder="1" applyAlignment="1">
      <alignment horizontal="center" vertical="center"/>
      <protection/>
    </xf>
    <xf numFmtId="176" fontId="0" fillId="0" borderId="52" xfId="126" applyNumberFormat="1" applyFont="1" applyFill="1" applyBorder="1" applyAlignment="1">
      <alignment horizontal="center" vertical="center"/>
      <protection/>
    </xf>
    <xf numFmtId="179" fontId="0" fillId="0" borderId="89" xfId="126" applyNumberFormat="1" applyFont="1" applyBorder="1" applyAlignment="1">
      <alignment horizontal="right" vertical="center" wrapText="1"/>
      <protection/>
    </xf>
    <xf numFmtId="0" fontId="0" fillId="0" borderId="161" xfId="126" applyFont="1" applyBorder="1" applyAlignment="1">
      <alignment horizontal="center" vertical="center"/>
      <protection/>
    </xf>
    <xf numFmtId="0" fontId="0" fillId="0" borderId="60" xfId="126" applyFont="1" applyBorder="1" applyAlignment="1">
      <alignment horizontal="center" vertical="center"/>
      <protection/>
    </xf>
    <xf numFmtId="0" fontId="0" fillId="0" borderId="35" xfId="126" applyFont="1" applyBorder="1" applyAlignment="1">
      <alignment horizontal="center" vertical="center"/>
      <protection/>
    </xf>
    <xf numFmtId="0" fontId="0" fillId="0" borderId="37" xfId="126" applyBorder="1" applyAlignment="1">
      <alignment horizontal="center" vertical="center" wrapText="1"/>
      <protection/>
    </xf>
    <xf numFmtId="0" fontId="0" fillId="0" borderId="11" xfId="126" applyBorder="1" applyAlignment="1">
      <alignment horizontal="center" vertical="center" wrapText="1"/>
      <protection/>
    </xf>
    <xf numFmtId="0" fontId="0" fillId="0" borderId="48" xfId="126" applyFill="1" applyBorder="1" applyAlignment="1">
      <alignment horizontal="center" vertical="center"/>
      <protection/>
    </xf>
    <xf numFmtId="0" fontId="0" fillId="0" borderId="170" xfId="126" applyFill="1" applyBorder="1" applyAlignment="1">
      <alignment horizontal="center" vertical="center"/>
      <protection/>
    </xf>
    <xf numFmtId="0" fontId="0" fillId="0" borderId="55" xfId="126" applyFill="1" applyBorder="1" applyAlignment="1">
      <alignment horizontal="center" vertical="center"/>
      <protection/>
    </xf>
    <xf numFmtId="41" fontId="0" fillId="0" borderId="89" xfId="87" applyFont="1" applyBorder="1" applyAlignment="1">
      <alignment horizontal="center" vertical="center"/>
    </xf>
    <xf numFmtId="176" fontId="0" fillId="0" borderId="89" xfId="126" applyNumberFormat="1" applyFont="1" applyBorder="1" applyAlignment="1">
      <alignment horizontal="center" vertical="center"/>
      <protection/>
    </xf>
    <xf numFmtId="0" fontId="0" fillId="0" borderId="190" xfId="126" applyBorder="1" applyAlignment="1">
      <alignment horizontal="center" vertical="center" wrapText="1"/>
      <protection/>
    </xf>
    <xf numFmtId="0" fontId="0" fillId="0" borderId="89" xfId="126" applyBorder="1" applyAlignment="1">
      <alignment horizontal="center" vertical="center"/>
      <protection/>
    </xf>
    <xf numFmtId="176" fontId="0" fillId="0" borderId="89" xfId="126" applyNumberFormat="1" applyFont="1" applyFill="1" applyBorder="1" applyAlignment="1">
      <alignment horizontal="center" vertical="center"/>
      <protection/>
    </xf>
    <xf numFmtId="176" fontId="0" fillId="0" borderId="89" xfId="126" applyNumberFormat="1" applyFill="1" applyBorder="1" applyAlignment="1">
      <alignment horizontal="center" vertical="center"/>
      <protection/>
    </xf>
    <xf numFmtId="0" fontId="0" fillId="0" borderId="35" xfId="126" applyFont="1" applyFill="1" applyBorder="1" applyAlignment="1">
      <alignment horizontal="center" vertical="center"/>
      <protection/>
    </xf>
    <xf numFmtId="0" fontId="0" fillId="0" borderId="37" xfId="126" applyFont="1" applyFill="1" applyBorder="1" applyAlignment="1">
      <alignment horizontal="center" vertical="center"/>
      <protection/>
    </xf>
    <xf numFmtId="0" fontId="0" fillId="0" borderId="11" xfId="126" applyFont="1" applyFill="1" applyBorder="1" applyAlignment="1">
      <alignment horizontal="center" vertical="center"/>
      <protection/>
    </xf>
    <xf numFmtId="0" fontId="0" fillId="0" borderId="37" xfId="126" applyFont="1" applyFill="1" applyBorder="1" applyAlignment="1">
      <alignment horizontal="center" vertical="center" wrapText="1"/>
      <protection/>
    </xf>
    <xf numFmtId="0" fontId="0" fillId="0" borderId="11" xfId="126" applyFill="1" applyBorder="1" applyAlignment="1">
      <alignment horizontal="center" vertical="center" wrapText="1"/>
      <protection/>
    </xf>
    <xf numFmtId="0" fontId="0" fillId="0" borderId="62" xfId="126" applyFill="1" applyBorder="1" applyAlignment="1">
      <alignment horizontal="center" vertical="center"/>
      <protection/>
    </xf>
    <xf numFmtId="0" fontId="0" fillId="0" borderId="93" xfId="126" applyFill="1" applyBorder="1" applyAlignment="1">
      <alignment horizontal="center" vertical="center"/>
      <protection/>
    </xf>
    <xf numFmtId="179" fontId="0" fillId="0" borderId="89" xfId="126" applyNumberFormat="1" applyFont="1" applyFill="1" applyBorder="1" applyAlignment="1" quotePrefix="1">
      <alignment horizontal="right" vertical="center" wrapText="1"/>
      <protection/>
    </xf>
    <xf numFmtId="176" fontId="6" fillId="0" borderId="191" xfId="126" applyNumberFormat="1" applyFont="1" applyFill="1" applyBorder="1" applyAlignment="1">
      <alignment horizontal="left" vertical="center" wrapText="1"/>
      <protection/>
    </xf>
    <xf numFmtId="176" fontId="6" fillId="0" borderId="66" xfId="126" applyNumberFormat="1" applyFont="1" applyFill="1" applyBorder="1" applyAlignment="1" quotePrefix="1">
      <alignment horizontal="left" vertical="center" wrapText="1"/>
      <protection/>
    </xf>
    <xf numFmtId="176" fontId="6" fillId="0" borderId="94" xfId="126" applyNumberFormat="1" applyFont="1" applyFill="1" applyBorder="1" applyAlignment="1" quotePrefix="1">
      <alignment horizontal="left" vertical="center" wrapText="1"/>
      <protection/>
    </xf>
    <xf numFmtId="0" fontId="64" fillId="0" borderId="0" xfId="126" applyFont="1" applyAlignment="1">
      <alignment horizontal="center"/>
      <protection/>
    </xf>
    <xf numFmtId="0" fontId="0" fillId="0" borderId="42" xfId="126" applyFont="1" applyBorder="1" applyAlignment="1">
      <alignment horizontal="center" vertical="center"/>
      <protection/>
    </xf>
    <xf numFmtId="0" fontId="0" fillId="0" borderId="43" xfId="126" applyFont="1" applyBorder="1" applyAlignment="1">
      <alignment horizontal="center" vertical="center"/>
      <protection/>
    </xf>
    <xf numFmtId="0" fontId="0" fillId="0" borderId="188" xfId="126" applyFont="1" applyBorder="1" applyAlignment="1">
      <alignment horizontal="center" vertical="center"/>
      <protection/>
    </xf>
    <xf numFmtId="0" fontId="0" fillId="0" borderId="44" xfId="126" applyFont="1" applyBorder="1" applyAlignment="1">
      <alignment horizontal="center" vertical="center"/>
      <protection/>
    </xf>
    <xf numFmtId="0" fontId="0" fillId="0" borderId="35" xfId="126" applyBorder="1" applyAlignment="1">
      <alignment horizontal="center" vertical="center"/>
      <protection/>
    </xf>
    <xf numFmtId="0" fontId="0" fillId="0" borderId="46" xfId="126" applyBorder="1" applyAlignment="1">
      <alignment horizontal="center" vertical="center"/>
      <protection/>
    </xf>
    <xf numFmtId="0" fontId="0" fillId="0" borderId="38" xfId="126" applyBorder="1" applyAlignment="1">
      <alignment horizontal="center" vertical="center"/>
      <protection/>
    </xf>
    <xf numFmtId="0" fontId="0" fillId="0" borderId="171" xfId="126" applyFont="1" applyFill="1" applyBorder="1" applyAlignment="1">
      <alignment horizontal="center" vertical="center"/>
      <protection/>
    </xf>
    <xf numFmtId="0" fontId="0" fillId="0" borderId="192" xfId="126" applyFont="1" applyFill="1" applyBorder="1" applyAlignment="1">
      <alignment horizontal="center" vertical="center"/>
      <protection/>
    </xf>
    <xf numFmtId="0" fontId="0" fillId="0" borderId="48" xfId="126" applyFont="1" applyFill="1" applyBorder="1" applyAlignment="1">
      <alignment horizontal="center" vertical="center"/>
      <protection/>
    </xf>
    <xf numFmtId="0" fontId="0" fillId="0" borderId="170" xfId="126" applyFont="1" applyFill="1" applyBorder="1" applyAlignment="1">
      <alignment horizontal="center" vertical="center"/>
      <protection/>
    </xf>
    <xf numFmtId="0" fontId="0" fillId="0" borderId="56" xfId="126" applyFont="1" applyFill="1" applyBorder="1" applyAlignment="1">
      <alignment horizontal="center" vertical="center"/>
      <protection/>
    </xf>
    <xf numFmtId="0" fontId="0" fillId="0" borderId="48" xfId="126" applyFont="1" applyBorder="1" applyAlignment="1">
      <alignment horizontal="center" vertical="center"/>
      <protection/>
    </xf>
    <xf numFmtId="0" fontId="0" fillId="0" borderId="170" xfId="126" applyFont="1" applyBorder="1" applyAlignment="1">
      <alignment horizontal="center" vertical="center"/>
      <protection/>
    </xf>
    <xf numFmtId="0" fontId="0" fillId="0" borderId="56" xfId="126" applyFont="1" applyBorder="1" applyAlignment="1">
      <alignment horizontal="center" vertical="center"/>
      <protection/>
    </xf>
    <xf numFmtId="41" fontId="0" fillId="0" borderId="89" xfId="86" applyFont="1" applyFill="1" applyBorder="1" applyAlignment="1">
      <alignment horizontal="center" vertical="center" wrapText="1"/>
    </xf>
    <xf numFmtId="41" fontId="0" fillId="0" borderId="11" xfId="86" applyFont="1" applyFill="1" applyBorder="1" applyAlignment="1">
      <alignment horizontal="center" vertical="center" wrapText="1"/>
    </xf>
    <xf numFmtId="41" fontId="0" fillId="0" borderId="191" xfId="86" applyFont="1" applyBorder="1" applyAlignment="1">
      <alignment horizontal="center" vertical="center" wrapText="1"/>
    </xf>
    <xf numFmtId="41" fontId="0" fillId="0" borderId="93" xfId="86" applyFont="1" applyBorder="1" applyAlignment="1">
      <alignment horizontal="center" vertical="center" wrapText="1"/>
    </xf>
    <xf numFmtId="0" fontId="0" fillId="0" borderId="96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0" fillId="24" borderId="188" xfId="86" applyFont="1" applyFill="1" applyBorder="1" applyAlignment="1">
      <alignment horizontal="center" vertical="center" wrapText="1"/>
    </xf>
    <xf numFmtId="41" fontId="0" fillId="24" borderId="16" xfId="86" applyFont="1" applyFill="1" applyBorder="1" applyAlignment="1">
      <alignment horizontal="center" vertical="center" wrapText="1"/>
    </xf>
    <xf numFmtId="41" fontId="0" fillId="24" borderId="17" xfId="86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7" fontId="0" fillId="0" borderId="191" xfId="0" applyNumberFormat="1" applyFont="1" applyBorder="1" applyAlignment="1">
      <alignment horizontal="center" vertical="center" wrapText="1"/>
    </xf>
    <xf numFmtId="177" fontId="0" fillId="0" borderId="93" xfId="0" applyNumberFormat="1" applyFont="1" applyBorder="1" applyAlignment="1">
      <alignment horizontal="center" vertical="center" wrapText="1"/>
    </xf>
    <xf numFmtId="0" fontId="0" fillId="0" borderId="96" xfId="0" applyBorder="1" applyAlignment="1">
      <alignment horizontal="distributed" vertical="center" wrapText="1"/>
    </xf>
    <xf numFmtId="0" fontId="0" fillId="0" borderId="90" xfId="0" applyBorder="1" applyAlignment="1">
      <alignment horizontal="distributed" vertical="center"/>
    </xf>
    <xf numFmtId="0" fontId="0" fillId="0" borderId="89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right"/>
    </xf>
    <xf numFmtId="0" fontId="0" fillId="0" borderId="191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89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41" fontId="6" fillId="0" borderId="0" xfId="86" applyFont="1" applyFill="1" applyBorder="1" applyAlignment="1">
      <alignment horizontal="center" vertical="center"/>
    </xf>
    <xf numFmtId="41" fontId="6" fillId="0" borderId="126" xfId="86" applyFont="1" applyFill="1" applyBorder="1" applyAlignment="1">
      <alignment horizontal="center" vertical="center"/>
    </xf>
    <xf numFmtId="41" fontId="6" fillId="0" borderId="0" xfId="86" applyFont="1" applyFill="1" applyBorder="1" applyAlignment="1">
      <alignment horizontal="right" vertical="center"/>
    </xf>
    <xf numFmtId="41" fontId="6" fillId="0" borderId="126" xfId="86" applyFont="1" applyFill="1" applyBorder="1" applyAlignment="1">
      <alignment horizontal="right" vertical="center"/>
    </xf>
    <xf numFmtId="0" fontId="6" fillId="0" borderId="15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6" fillId="0" borderId="150" xfId="86" applyFont="1" applyFill="1" applyBorder="1" applyAlignment="1">
      <alignment horizontal="left" vertical="center" wrapText="1"/>
    </xf>
    <xf numFmtId="41" fontId="6" fillId="0" borderId="0" xfId="86" applyFont="1" applyFill="1" applyBorder="1" applyAlignment="1">
      <alignment horizontal="left" vertical="center" wrapText="1"/>
    </xf>
    <xf numFmtId="41" fontId="0" fillId="0" borderId="0" xfId="86" applyFont="1" applyFill="1" applyBorder="1" applyAlignment="1">
      <alignment horizontal="center" vertical="center"/>
    </xf>
    <xf numFmtId="41" fontId="0" fillId="0" borderId="126" xfId="86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41" fontId="0" fillId="0" borderId="149" xfId="86" applyFont="1" applyFill="1" applyBorder="1" applyAlignment="1">
      <alignment horizontal="center" vertical="center"/>
    </xf>
    <xf numFmtId="41" fontId="0" fillId="0" borderId="127" xfId="86" applyFont="1" applyFill="1" applyBorder="1" applyAlignment="1">
      <alignment horizontal="center" vertical="center"/>
    </xf>
    <xf numFmtId="0" fontId="6" fillId="0" borderId="150" xfId="86" applyNumberFormat="1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horizontal="left" vertical="center"/>
    </xf>
    <xf numFmtId="0" fontId="6" fillId="0" borderId="150" xfId="8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1" fontId="6" fillId="0" borderId="150" xfId="86" applyFont="1" applyFill="1" applyBorder="1" applyAlignment="1">
      <alignment horizontal="left" vertical="center"/>
    </xf>
    <xf numFmtId="41" fontId="6" fillId="0" borderId="0" xfId="86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horizontal="left" vertical="center" wrapText="1"/>
    </xf>
    <xf numFmtId="41" fontId="6" fillId="0" borderId="155" xfId="86" applyFont="1" applyFill="1" applyBorder="1" applyAlignment="1">
      <alignment horizontal="center" vertical="center"/>
    </xf>
    <xf numFmtId="41" fontId="6" fillId="0" borderId="193" xfId="86" applyFont="1" applyFill="1" applyBorder="1" applyAlignment="1">
      <alignment horizontal="center" vertical="center"/>
    </xf>
    <xf numFmtId="41" fontId="6" fillId="0" borderId="150" xfId="86" applyFont="1" applyFill="1" applyBorder="1" applyAlignment="1">
      <alignment vertical="center" wrapText="1"/>
    </xf>
    <xf numFmtId="41" fontId="6" fillId="0" borderId="0" xfId="86" applyFont="1" applyFill="1" applyBorder="1" applyAlignment="1">
      <alignment vertical="center" wrapText="1"/>
    </xf>
    <xf numFmtId="41" fontId="6" fillId="0" borderId="154" xfId="86" applyFont="1" applyFill="1" applyBorder="1" applyAlignment="1">
      <alignment horizontal="right" vertical="center"/>
    </xf>
    <xf numFmtId="41" fontId="6" fillId="0" borderId="162" xfId="86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1" fontId="6" fillId="0" borderId="154" xfId="86" applyFont="1" applyFill="1" applyBorder="1" applyAlignment="1">
      <alignment horizontal="center" vertical="center"/>
    </xf>
    <xf numFmtId="41" fontId="6" fillId="0" borderId="162" xfId="86" applyFont="1" applyFill="1" applyBorder="1" applyAlignment="1">
      <alignment horizontal="center" vertical="center"/>
    </xf>
    <xf numFmtId="41" fontId="6" fillId="0" borderId="0" xfId="86" applyNumberFormat="1" applyFont="1" applyFill="1" applyBorder="1" applyAlignment="1">
      <alignment horizontal="right" vertical="center"/>
    </xf>
    <xf numFmtId="41" fontId="6" fillId="0" borderId="126" xfId="86" applyNumberFormat="1" applyFont="1" applyFill="1" applyBorder="1" applyAlignment="1">
      <alignment horizontal="right" vertical="center"/>
    </xf>
    <xf numFmtId="41" fontId="6" fillId="0" borderId="149" xfId="86" applyFont="1" applyFill="1" applyBorder="1" applyAlignment="1">
      <alignment horizontal="center" vertical="center"/>
    </xf>
    <xf numFmtId="41" fontId="6" fillId="0" borderId="127" xfId="86" applyFont="1" applyFill="1" applyBorder="1" applyAlignment="1">
      <alignment horizontal="center" vertical="center"/>
    </xf>
    <xf numFmtId="41" fontId="6" fillId="0" borderId="61" xfId="86" applyFont="1" applyFill="1" applyBorder="1" applyAlignment="1">
      <alignment horizontal="right" vertical="center"/>
    </xf>
    <xf numFmtId="41" fontId="6" fillId="0" borderId="60" xfId="86" applyFont="1" applyFill="1" applyBorder="1" applyAlignment="1">
      <alignment horizontal="right" vertical="center"/>
    </xf>
    <xf numFmtId="41" fontId="6" fillId="0" borderId="153" xfId="86" applyFont="1" applyFill="1" applyBorder="1" applyAlignment="1">
      <alignment horizontal="left" vertical="center"/>
    </xf>
    <xf numFmtId="41" fontId="6" fillId="0" borderId="154" xfId="86" applyFont="1" applyFill="1" applyBorder="1" applyAlignment="1">
      <alignment horizontal="left" vertical="center"/>
    </xf>
    <xf numFmtId="41" fontId="6" fillId="0" borderId="150" xfId="86" applyFont="1" applyFill="1" applyBorder="1" applyAlignment="1">
      <alignment vertical="center"/>
    </xf>
    <xf numFmtId="41" fontId="6" fillId="0" borderId="0" xfId="86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123" applyNumberFormat="1" applyFont="1" applyFill="1" applyBorder="1" applyAlignment="1">
      <alignment horizontal="right" vertical="center"/>
    </xf>
    <xf numFmtId="3" fontId="6" fillId="0" borderId="126" xfId="123" applyNumberFormat="1" applyFont="1" applyFill="1" applyBorder="1" applyAlignment="1">
      <alignment horizontal="right" vertical="center"/>
    </xf>
    <xf numFmtId="0" fontId="0" fillId="0" borderId="126" xfId="0" applyFill="1" applyBorder="1" applyAlignment="1">
      <alignment/>
    </xf>
    <xf numFmtId="0" fontId="0" fillId="0" borderId="0" xfId="0" applyFill="1" applyAlignment="1">
      <alignment/>
    </xf>
    <xf numFmtId="41" fontId="6" fillId="0" borderId="185" xfId="86" applyFont="1" applyFill="1" applyBorder="1" applyAlignment="1">
      <alignment horizontal="right" vertical="center"/>
    </xf>
    <xf numFmtId="41" fontId="6" fillId="0" borderId="194" xfId="86" applyFont="1" applyFill="1" applyBorder="1" applyAlignment="1">
      <alignment horizontal="right" vertical="center"/>
    </xf>
    <xf numFmtId="41" fontId="6" fillId="0" borderId="177" xfId="86" applyFont="1" applyFill="1" applyBorder="1" applyAlignment="1">
      <alignment horizontal="right" vertical="center"/>
    </xf>
    <xf numFmtId="41" fontId="6" fillId="0" borderId="178" xfId="86" applyFont="1" applyFill="1" applyBorder="1" applyAlignment="1">
      <alignment horizontal="right" vertical="center"/>
    </xf>
    <xf numFmtId="41" fontId="6" fillId="0" borderId="125" xfId="86" applyFont="1" applyFill="1" applyBorder="1" applyAlignment="1">
      <alignment horizontal="right" vertical="center"/>
    </xf>
    <xf numFmtId="41" fontId="6" fillId="0" borderId="12" xfId="86" applyFont="1" applyFill="1" applyBorder="1" applyAlignment="1">
      <alignment horizontal="right" vertical="center"/>
    </xf>
    <xf numFmtId="41" fontId="6" fillId="0" borderId="66" xfId="86" applyFont="1" applyFill="1" applyBorder="1" applyAlignment="1">
      <alignment horizontal="right" vertical="center"/>
    </xf>
    <xf numFmtId="3" fontId="6" fillId="0" borderId="0" xfId="86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110" xfId="0" applyFill="1" applyBorder="1" applyAlignment="1">
      <alignment/>
    </xf>
    <xf numFmtId="41" fontId="6" fillId="0" borderId="14" xfId="86" applyFont="1" applyFill="1" applyBorder="1" applyAlignment="1">
      <alignment horizontal="right" vertical="center"/>
    </xf>
    <xf numFmtId="41" fontId="6" fillId="0" borderId="143" xfId="86" applyFont="1" applyFill="1" applyBorder="1" applyAlignment="1">
      <alignment horizontal="right" vertical="center"/>
    </xf>
    <xf numFmtId="41" fontId="6" fillId="0" borderId="0" xfId="86" applyFont="1" applyFill="1" applyBorder="1" applyAlignment="1">
      <alignment horizontal="right" vertical="center" wrapText="1"/>
    </xf>
    <xf numFmtId="41" fontId="6" fillId="0" borderId="126" xfId="86" applyFont="1" applyFill="1" applyBorder="1" applyAlignment="1">
      <alignment horizontal="right" vertical="center" wrapText="1"/>
    </xf>
    <xf numFmtId="3" fontId="6" fillId="0" borderId="41" xfId="123" applyNumberFormat="1" applyFont="1" applyFill="1" applyBorder="1" applyAlignment="1">
      <alignment horizontal="right" vertical="center"/>
    </xf>
    <xf numFmtId="3" fontId="6" fillId="0" borderId="110" xfId="123" applyNumberFormat="1" applyFont="1" applyFill="1" applyBorder="1" applyAlignment="1">
      <alignment horizontal="right" vertical="center"/>
    </xf>
    <xf numFmtId="41" fontId="0" fillId="0" borderId="41" xfId="0" applyNumberFormat="1" applyFont="1" applyFill="1" applyBorder="1" applyAlignment="1">
      <alignment horizontal="center" vertical="center"/>
    </xf>
    <xf numFmtId="41" fontId="0" fillId="0" borderId="110" xfId="0" applyNumberFormat="1" applyFont="1" applyFill="1" applyBorder="1" applyAlignment="1">
      <alignment horizontal="center" vertical="center"/>
    </xf>
    <xf numFmtId="177" fontId="0" fillId="0" borderId="89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7" fontId="6" fillId="0" borderId="150" xfId="86" applyNumberFormat="1" applyFont="1" applyFill="1" applyBorder="1" applyAlignment="1">
      <alignment horizontal="left" vertical="center" wrapText="1"/>
    </xf>
    <xf numFmtId="177" fontId="6" fillId="0" borderId="0" xfId="86" applyNumberFormat="1" applyFont="1" applyFill="1" applyBorder="1" applyAlignment="1">
      <alignment horizontal="left" vertical="center" wrapText="1"/>
    </xf>
    <xf numFmtId="41" fontId="6" fillId="0" borderId="155" xfId="86" applyFont="1" applyFill="1" applyBorder="1" applyAlignment="1">
      <alignment horizontal="right" vertical="center"/>
    </xf>
    <xf numFmtId="41" fontId="6" fillId="0" borderId="193" xfId="86" applyFont="1" applyFill="1" applyBorder="1" applyAlignment="1">
      <alignment horizontal="right" vertical="center"/>
    </xf>
    <xf numFmtId="41" fontId="0" fillId="0" borderId="0" xfId="86" applyFont="1" applyFill="1" applyBorder="1" applyAlignment="1">
      <alignment horizontal="right" vertical="center"/>
    </xf>
    <xf numFmtId="41" fontId="0" fillId="0" borderId="126" xfId="86" applyFont="1" applyFill="1" applyBorder="1" applyAlignment="1">
      <alignment horizontal="right" vertical="center"/>
    </xf>
    <xf numFmtId="41" fontId="0" fillId="0" borderId="154" xfId="86" applyFont="1" applyFill="1" applyBorder="1" applyAlignment="1">
      <alignment horizontal="right" vertical="center"/>
    </xf>
    <xf numFmtId="41" fontId="0" fillId="0" borderId="162" xfId="86" applyFont="1" applyFill="1" applyBorder="1" applyAlignment="1">
      <alignment horizontal="right" vertical="center"/>
    </xf>
    <xf numFmtId="41" fontId="6" fillId="0" borderId="177" xfId="86" applyFont="1" applyFill="1" applyBorder="1" applyAlignment="1">
      <alignment horizontal="center" vertical="center"/>
    </xf>
    <xf numFmtId="41" fontId="6" fillId="0" borderId="178" xfId="86" applyFont="1" applyFill="1" applyBorder="1" applyAlignment="1">
      <alignment horizontal="center" vertical="center"/>
    </xf>
    <xf numFmtId="41" fontId="0" fillId="0" borderId="150" xfId="86" applyFont="1" applyFill="1" applyBorder="1" applyAlignment="1">
      <alignment vertical="center"/>
    </xf>
    <xf numFmtId="41" fontId="0" fillId="0" borderId="0" xfId="86" applyFont="1" applyFill="1" applyBorder="1" applyAlignment="1">
      <alignment vertical="center"/>
    </xf>
    <xf numFmtId="0" fontId="6" fillId="0" borderId="152" xfId="86" applyNumberFormat="1" applyFont="1" applyFill="1" applyBorder="1" applyAlignment="1">
      <alignment horizontal="left" vertical="center" wrapText="1"/>
    </xf>
    <xf numFmtId="0" fontId="6" fillId="0" borderId="61" xfId="86" applyNumberFormat="1" applyFont="1" applyFill="1" applyBorder="1" applyAlignment="1">
      <alignment horizontal="left" vertical="center" wrapText="1"/>
    </xf>
    <xf numFmtId="41" fontId="6" fillId="0" borderId="150" xfId="86" applyFont="1" applyFill="1" applyBorder="1" applyAlignment="1">
      <alignment horizontal="center" vertical="center"/>
    </xf>
    <xf numFmtId="41" fontId="6" fillId="0" borderId="148" xfId="86" applyFont="1" applyFill="1" applyBorder="1" applyAlignment="1">
      <alignment horizontal="left" vertical="center" wrapText="1"/>
    </xf>
    <xf numFmtId="41" fontId="6" fillId="0" borderId="149" xfId="86" applyFont="1" applyFill="1" applyBorder="1" applyAlignment="1">
      <alignment horizontal="left" vertical="center" wrapText="1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41" fontId="0" fillId="0" borderId="177" xfId="86" applyFont="1" applyFill="1" applyBorder="1" applyAlignment="1">
      <alignment horizontal="center" vertical="center"/>
    </xf>
    <xf numFmtId="41" fontId="0" fillId="0" borderId="178" xfId="86" applyFont="1" applyFill="1" applyBorder="1" applyAlignment="1">
      <alignment horizontal="center" vertical="center"/>
    </xf>
    <xf numFmtId="0" fontId="52" fillId="0" borderId="0" xfId="140" applyFont="1" applyAlignment="1">
      <alignment horizontal="center" vertical="center"/>
      <protection/>
    </xf>
    <xf numFmtId="0" fontId="0" fillId="0" borderId="0" xfId="140" applyFont="1" applyAlignment="1">
      <alignment horizontal="center" vertical="center"/>
      <protection/>
    </xf>
    <xf numFmtId="0" fontId="0" fillId="0" borderId="15" xfId="140" applyBorder="1" applyAlignment="1">
      <alignment horizontal="center" vertical="center"/>
      <protection/>
    </xf>
    <xf numFmtId="0" fontId="0" fillId="0" borderId="16" xfId="140" applyBorder="1" applyAlignment="1">
      <alignment horizontal="center" vertical="center"/>
      <protection/>
    </xf>
    <xf numFmtId="0" fontId="0" fillId="0" borderId="17" xfId="140" applyBorder="1" applyAlignment="1">
      <alignment horizontal="center" vertical="center"/>
      <protection/>
    </xf>
    <xf numFmtId="177" fontId="0" fillId="0" borderId="17" xfId="140" applyNumberFormat="1" applyFont="1" applyBorder="1" applyAlignment="1">
      <alignment horizontal="center" vertical="center"/>
      <protection/>
    </xf>
    <xf numFmtId="177" fontId="0" fillId="0" borderId="43" xfId="140" applyNumberFormat="1" applyFont="1" applyBorder="1" applyAlignment="1">
      <alignment horizontal="center" vertical="center"/>
      <protection/>
    </xf>
    <xf numFmtId="0" fontId="0" fillId="0" borderId="191" xfId="140" applyBorder="1" applyAlignment="1">
      <alignment horizontal="center" vertical="center"/>
      <protection/>
    </xf>
    <xf numFmtId="0" fontId="0" fillId="0" borderId="69" xfId="140" applyBorder="1" applyAlignment="1">
      <alignment horizontal="center" vertical="center"/>
      <protection/>
    </xf>
    <xf numFmtId="0" fontId="0" fillId="0" borderId="195" xfId="140" applyBorder="1" applyAlignment="1">
      <alignment horizontal="center" vertical="center"/>
      <protection/>
    </xf>
    <xf numFmtId="0" fontId="0" fillId="0" borderId="196" xfId="140" applyBorder="1" applyAlignment="1">
      <alignment horizontal="center" vertical="center"/>
      <protection/>
    </xf>
    <xf numFmtId="0" fontId="0" fillId="0" borderId="102" xfId="140" applyBorder="1" applyAlignment="1">
      <alignment horizontal="center" vertical="center"/>
      <protection/>
    </xf>
    <xf numFmtId="0" fontId="0" fillId="0" borderId="197" xfId="140" applyBorder="1" applyAlignment="1">
      <alignment horizontal="center" vertical="center"/>
      <protection/>
    </xf>
    <xf numFmtId="0" fontId="0" fillId="0" borderId="188" xfId="140" applyBorder="1" applyAlignment="1">
      <alignment horizontal="center" vertical="center"/>
      <protection/>
    </xf>
    <xf numFmtId="0" fontId="0" fillId="0" borderId="48" xfId="140" applyBorder="1" applyAlignment="1">
      <alignment horizontal="center" vertical="center"/>
      <protection/>
    </xf>
    <xf numFmtId="0" fontId="0" fillId="0" borderId="55" xfId="140" applyBorder="1" applyAlignment="1">
      <alignment horizontal="center" vertical="center"/>
      <protection/>
    </xf>
    <xf numFmtId="0" fontId="0" fillId="0" borderId="37" xfId="140" applyBorder="1" applyAlignment="1">
      <alignment horizontal="distributed" vertical="center"/>
      <protection/>
    </xf>
    <xf numFmtId="0" fontId="0" fillId="0" borderId="52" xfId="140" applyBorder="1" applyAlignment="1">
      <alignment horizontal="distributed" vertical="center"/>
      <protection/>
    </xf>
    <xf numFmtId="0" fontId="0" fillId="0" borderId="198" xfId="140" applyBorder="1" applyAlignment="1">
      <alignment horizontal="distributed" vertical="center"/>
      <protection/>
    </xf>
    <xf numFmtId="0" fontId="0" fillId="0" borderId="49" xfId="140" applyBorder="1" applyAlignment="1">
      <alignment horizontal="distributed" vertical="center"/>
      <protection/>
    </xf>
    <xf numFmtId="0" fontId="0" fillId="0" borderId="188" xfId="140" applyBorder="1" applyAlignment="1">
      <alignment horizontal="distributed" vertical="center"/>
      <protection/>
    </xf>
    <xf numFmtId="0" fontId="0" fillId="0" borderId="17" xfId="140" applyBorder="1" applyAlignment="1">
      <alignment horizontal="distributed" vertical="center"/>
      <protection/>
    </xf>
    <xf numFmtId="0" fontId="0" fillId="0" borderId="48" xfId="140" applyBorder="1" applyAlignment="1">
      <alignment horizontal="distributed" vertical="center"/>
      <protection/>
    </xf>
    <xf numFmtId="0" fontId="0" fillId="0" borderId="55" xfId="140" applyBorder="1" applyAlignment="1">
      <alignment horizontal="distributed" vertical="center"/>
      <protection/>
    </xf>
    <xf numFmtId="0" fontId="0" fillId="0" borderId="48" xfId="140" applyFont="1" applyBorder="1" applyAlignment="1">
      <alignment horizontal="distributed" vertical="center"/>
      <protection/>
    </xf>
    <xf numFmtId="0" fontId="0" fillId="0" borderId="55" xfId="140" applyFont="1" applyBorder="1" applyAlignment="1">
      <alignment horizontal="distributed" vertical="center"/>
      <protection/>
    </xf>
    <xf numFmtId="0" fontId="0" fillId="0" borderId="198" xfId="140" applyFont="1" applyBorder="1" applyAlignment="1">
      <alignment horizontal="distributed" vertical="center"/>
      <protection/>
    </xf>
    <xf numFmtId="0" fontId="0" fillId="0" borderId="49" xfId="140" applyFont="1" applyBorder="1" applyAlignment="1">
      <alignment horizontal="distributed" vertical="center"/>
      <protection/>
    </xf>
    <xf numFmtId="0" fontId="0" fillId="0" borderId="198" xfId="140" applyBorder="1" applyAlignment="1">
      <alignment horizontal="distributed" vertical="center" wrapText="1"/>
      <protection/>
    </xf>
    <xf numFmtId="0" fontId="0" fillId="0" borderId="49" xfId="140" applyBorder="1" applyAlignment="1">
      <alignment horizontal="distributed" vertical="center" wrapText="1"/>
      <protection/>
    </xf>
    <xf numFmtId="0" fontId="0" fillId="0" borderId="48" xfId="140" applyBorder="1" applyAlignment="1">
      <alignment horizontal="distributed" vertical="center" wrapText="1"/>
      <protection/>
    </xf>
    <xf numFmtId="0" fontId="0" fillId="0" borderId="55" xfId="140" applyBorder="1" applyAlignment="1">
      <alignment horizontal="distributed" vertical="center" wrapText="1"/>
      <protection/>
    </xf>
    <xf numFmtId="0" fontId="0" fillId="0" borderId="48" xfId="140" applyFont="1" applyBorder="1" applyAlignment="1">
      <alignment horizontal="distributed" vertical="center" wrapText="1"/>
      <protection/>
    </xf>
    <xf numFmtId="0" fontId="0" fillId="0" borderId="55" xfId="140" applyFont="1" applyBorder="1" applyAlignment="1">
      <alignment horizontal="distributed" vertical="center" wrapText="1"/>
      <protection/>
    </xf>
    <xf numFmtId="0" fontId="0" fillId="0" borderId="198" xfId="140" applyFont="1" applyBorder="1" applyAlignment="1">
      <alignment horizontal="distributed" vertical="center" wrapText="1"/>
      <protection/>
    </xf>
    <xf numFmtId="0" fontId="0" fillId="0" borderId="49" xfId="140" applyFont="1" applyBorder="1" applyAlignment="1">
      <alignment horizontal="distributed" vertical="center" wrapText="1"/>
      <protection/>
    </xf>
    <xf numFmtId="0" fontId="0" fillId="0" borderId="188" xfId="139" applyBorder="1" applyAlignment="1">
      <alignment horizontal="distributed" vertical="center"/>
      <protection/>
    </xf>
    <xf numFmtId="0" fontId="0" fillId="0" borderId="17" xfId="139" applyBorder="1" applyAlignment="1">
      <alignment horizontal="distributed" vertical="center"/>
      <protection/>
    </xf>
    <xf numFmtId="0" fontId="0" fillId="0" borderId="48" xfId="139" applyFont="1" applyBorder="1" applyAlignment="1">
      <alignment horizontal="distributed" vertical="center"/>
      <protection/>
    </xf>
    <xf numFmtId="0" fontId="0" fillId="0" borderId="55" xfId="139" applyFont="1" applyBorder="1" applyAlignment="1">
      <alignment horizontal="distributed" vertical="center"/>
      <protection/>
    </xf>
    <xf numFmtId="0" fontId="0" fillId="0" borderId="172" xfId="140" applyBorder="1" applyAlignment="1">
      <alignment horizontal="distributed" vertical="center"/>
      <protection/>
    </xf>
    <xf numFmtId="0" fontId="0" fillId="0" borderId="59" xfId="140" applyBorder="1" applyAlignment="1">
      <alignment horizontal="distributed" vertical="center"/>
      <protection/>
    </xf>
    <xf numFmtId="0" fontId="0" fillId="0" borderId="143" xfId="140" applyBorder="1" applyAlignment="1">
      <alignment horizontal="center" vertical="center"/>
      <protection/>
    </xf>
    <xf numFmtId="0" fontId="0" fillId="0" borderId="145" xfId="140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0" fillId="0" borderId="46" xfId="137" applyFont="1" applyBorder="1" applyAlignment="1">
      <alignment horizontal="center" vertical="center"/>
      <protection/>
    </xf>
    <xf numFmtId="0" fontId="20" fillId="0" borderId="38" xfId="137" applyFont="1" applyBorder="1" applyAlignment="1">
      <alignment horizontal="center" vertical="center"/>
      <protection/>
    </xf>
    <xf numFmtId="0" fontId="27" fillId="0" borderId="0" xfId="137" applyFont="1" applyAlignment="1">
      <alignment horizontal="center"/>
      <protection/>
    </xf>
    <xf numFmtId="0" fontId="20" fillId="0" borderId="42" xfId="137" applyFont="1" applyBorder="1" applyAlignment="1">
      <alignment horizontal="center" vertical="center"/>
      <protection/>
    </xf>
    <xf numFmtId="0" fontId="20" fillId="0" borderId="45" xfId="137" applyFont="1" applyBorder="1" applyAlignment="1">
      <alignment horizontal="center" vertical="center"/>
      <protection/>
    </xf>
    <xf numFmtId="0" fontId="20" fillId="0" borderId="43" xfId="137" applyFont="1" applyBorder="1" applyAlignment="1">
      <alignment horizontal="center" vertical="center"/>
      <protection/>
    </xf>
    <xf numFmtId="0" fontId="20" fillId="0" borderId="35" xfId="137" applyFont="1" applyBorder="1" applyAlignment="1">
      <alignment horizontal="center" vertical="center"/>
      <protection/>
    </xf>
    <xf numFmtId="0" fontId="20" fillId="0" borderId="44" xfId="137" applyFont="1" applyBorder="1" applyAlignment="1">
      <alignment horizontal="center" vertical="center"/>
      <protection/>
    </xf>
    <xf numFmtId="0" fontId="20" fillId="0" borderId="36" xfId="137" applyFont="1" applyBorder="1" applyAlignment="1">
      <alignment horizontal="center" vertical="center"/>
      <protection/>
    </xf>
    <xf numFmtId="0" fontId="20" fillId="0" borderId="89" xfId="137" applyFont="1" applyBorder="1" applyAlignment="1">
      <alignment horizontal="center" vertical="center" wrapText="1"/>
      <protection/>
    </xf>
    <xf numFmtId="0" fontId="20" fillId="0" borderId="52" xfId="137" applyFont="1" applyBorder="1" applyAlignment="1">
      <alignment horizontal="center" vertical="center"/>
      <protection/>
    </xf>
    <xf numFmtId="0" fontId="20" fillId="0" borderId="52" xfId="137" applyFont="1" applyBorder="1" applyAlignment="1">
      <alignment horizontal="center" vertical="center" wrapText="1"/>
      <protection/>
    </xf>
    <xf numFmtId="0" fontId="22" fillId="0" borderId="43" xfId="137" applyFont="1" applyBorder="1" applyAlignment="1">
      <alignment horizontal="center" vertical="center" wrapText="1"/>
      <protection/>
    </xf>
    <xf numFmtId="0" fontId="22" fillId="0" borderId="35" xfId="137" applyFont="1" applyBorder="1" applyAlignment="1">
      <alignment horizontal="center" vertical="center" wrapText="1"/>
      <protection/>
    </xf>
    <xf numFmtId="0" fontId="22" fillId="0" borderId="45" xfId="137" applyFont="1" applyBorder="1" applyAlignment="1">
      <alignment horizontal="center" vertical="center"/>
      <protection/>
    </xf>
    <xf numFmtId="0" fontId="22" fillId="0" borderId="63" xfId="137" applyFont="1" applyBorder="1" applyAlignment="1">
      <alignment horizontal="center" vertical="center"/>
      <protection/>
    </xf>
    <xf numFmtId="0" fontId="22" fillId="0" borderId="46" xfId="137" applyFont="1" applyBorder="1" applyAlignment="1">
      <alignment horizontal="center" vertical="center"/>
      <protection/>
    </xf>
    <xf numFmtId="0" fontId="22" fillId="0" borderId="35" xfId="137" applyFont="1" applyBorder="1" applyAlignment="1">
      <alignment horizontal="center" vertical="center"/>
      <protection/>
    </xf>
    <xf numFmtId="0" fontId="22" fillId="0" borderId="37" xfId="137" applyFont="1" applyBorder="1" applyAlignment="1">
      <alignment horizontal="center" vertical="center"/>
      <protection/>
    </xf>
    <xf numFmtId="0" fontId="22" fillId="0" borderId="12" xfId="137" applyFont="1" applyBorder="1" applyAlignment="1">
      <alignment horizontal="center" vertical="center"/>
      <protection/>
    </xf>
    <xf numFmtId="0" fontId="22" fillId="0" borderId="52" xfId="137" applyFont="1" applyBorder="1" applyAlignment="1">
      <alignment horizontal="center" vertical="center"/>
      <protection/>
    </xf>
    <xf numFmtId="0" fontId="22" fillId="0" borderId="48" xfId="137" applyFont="1" applyBorder="1" applyAlignment="1">
      <alignment horizontal="center" vertical="center"/>
      <protection/>
    </xf>
    <xf numFmtId="0" fontId="22" fillId="0" borderId="55" xfId="137" applyFont="1" applyBorder="1" applyAlignment="1">
      <alignment horizontal="center" vertical="center"/>
      <protection/>
    </xf>
    <xf numFmtId="0" fontId="22" fillId="0" borderId="38" xfId="137" applyFont="1" applyBorder="1" applyAlignment="1">
      <alignment horizontal="center" vertical="center"/>
      <protection/>
    </xf>
    <xf numFmtId="0" fontId="22" fillId="0" borderId="172" xfId="137" applyFont="1" applyBorder="1" applyAlignment="1">
      <alignment horizontal="center" vertical="center"/>
      <protection/>
    </xf>
    <xf numFmtId="0" fontId="22" fillId="0" borderId="59" xfId="137" applyFont="1" applyBorder="1" applyAlignment="1">
      <alignment horizontal="center" vertical="center"/>
      <protection/>
    </xf>
    <xf numFmtId="0" fontId="22" fillId="0" borderId="44" xfId="137" applyFont="1" applyBorder="1" applyAlignment="1">
      <alignment horizontal="center" vertical="center" wrapText="1"/>
      <protection/>
    </xf>
    <xf numFmtId="0" fontId="22" fillId="0" borderId="36" xfId="137" applyFont="1" applyBorder="1" applyAlignment="1">
      <alignment horizontal="center" vertical="center" wrapText="1"/>
      <protection/>
    </xf>
    <xf numFmtId="0" fontId="22" fillId="0" borderId="0" xfId="137" applyFont="1" applyAlignment="1">
      <alignment horizontal="center"/>
      <protection/>
    </xf>
    <xf numFmtId="0" fontId="22" fillId="0" borderId="0" xfId="137" applyFont="1" applyBorder="1" applyAlignment="1">
      <alignment horizontal="right"/>
      <protection/>
    </xf>
    <xf numFmtId="0" fontId="22" fillId="0" borderId="42" xfId="137" applyFont="1" applyBorder="1" applyAlignment="1">
      <alignment horizontal="center" vertical="center" wrapText="1"/>
      <protection/>
    </xf>
    <xf numFmtId="0" fontId="22" fillId="0" borderId="45" xfId="137" applyFont="1" applyBorder="1" applyAlignment="1">
      <alignment horizontal="center" vertical="center" wrapText="1"/>
      <protection/>
    </xf>
    <xf numFmtId="0" fontId="18" fillId="0" borderId="0" xfId="137" applyFont="1" applyAlignment="1">
      <alignment horizontal="center"/>
      <protection/>
    </xf>
    <xf numFmtId="178" fontId="20" fillId="0" borderId="35" xfId="138" applyNumberFormat="1" applyFont="1" applyBorder="1" applyAlignment="1">
      <alignment horizontal="center" vertical="center" wrapText="1"/>
      <protection/>
    </xf>
    <xf numFmtId="178" fontId="20" fillId="0" borderId="48" xfId="138" applyNumberFormat="1" applyFont="1" applyBorder="1" applyAlignment="1">
      <alignment horizontal="center" vertical="center"/>
      <protection/>
    </xf>
    <xf numFmtId="178" fontId="20" fillId="0" borderId="170" xfId="138" applyNumberFormat="1" applyFont="1" applyBorder="1" applyAlignment="1">
      <alignment horizontal="center" vertical="center"/>
      <protection/>
    </xf>
    <xf numFmtId="178" fontId="20" fillId="0" borderId="55" xfId="138" applyNumberFormat="1" applyFont="1" applyBorder="1" applyAlignment="1">
      <alignment horizontal="center" vertical="center"/>
      <protection/>
    </xf>
    <xf numFmtId="178" fontId="20" fillId="0" borderId="35" xfId="138" applyNumberFormat="1" applyFont="1" applyBorder="1" applyAlignment="1">
      <alignment horizontal="center" vertical="center"/>
      <protection/>
    </xf>
    <xf numFmtId="0" fontId="22" fillId="0" borderId="0" xfId="138" applyFont="1" applyBorder="1" applyAlignment="1">
      <alignment horizontal="right"/>
      <protection/>
    </xf>
    <xf numFmtId="0" fontId="69" fillId="0" borderId="0" xfId="0" applyFont="1" applyAlignment="1">
      <alignment horizontal="center"/>
    </xf>
    <xf numFmtId="41" fontId="0" fillId="0" borderId="35" xfId="97" applyFont="1" applyFill="1" applyBorder="1" applyAlignment="1">
      <alignment horizontal="center" vertical="center"/>
    </xf>
    <xf numFmtId="41" fontId="0" fillId="0" borderId="35" xfId="97" applyFont="1" applyFill="1" applyBorder="1" applyAlignment="1">
      <alignment horizontal="center" vertical="center" wrapText="1"/>
    </xf>
    <xf numFmtId="41" fontId="0" fillId="24" borderId="35" xfId="97" applyFont="1" applyFill="1" applyBorder="1" applyAlignment="1">
      <alignment horizontal="center" vertical="center" wrapText="1"/>
    </xf>
    <xf numFmtId="41" fontId="10" fillId="0" borderId="0" xfId="97" applyFont="1" applyAlignment="1">
      <alignment horizontal="center"/>
    </xf>
    <xf numFmtId="41" fontId="20" fillId="0" borderId="45" xfId="96" applyFont="1" applyFill="1" applyBorder="1" applyAlignment="1">
      <alignment horizontal="center" vertical="center"/>
    </xf>
    <xf numFmtId="41" fontId="20" fillId="0" borderId="35" xfId="96" applyFont="1" applyFill="1" applyBorder="1" applyAlignment="1">
      <alignment horizontal="center" vertical="center" wrapText="1"/>
    </xf>
    <xf numFmtId="41" fontId="20" fillId="0" borderId="35" xfId="96" applyFont="1" applyFill="1" applyBorder="1" applyAlignment="1">
      <alignment horizontal="center" vertical="center"/>
    </xf>
    <xf numFmtId="41" fontId="20" fillId="0" borderId="46" xfId="96" applyFont="1" applyFill="1" applyBorder="1" applyAlignment="1">
      <alignment horizontal="center" vertical="center"/>
    </xf>
    <xf numFmtId="41" fontId="20" fillId="0" borderId="38" xfId="96" applyFont="1" applyFill="1" applyBorder="1" applyAlignment="1">
      <alignment horizontal="center" vertical="center"/>
    </xf>
    <xf numFmtId="41" fontId="20" fillId="24" borderId="43" xfId="96" applyFont="1" applyFill="1" applyBorder="1" applyAlignment="1">
      <alignment horizontal="center" vertical="center" wrapText="1"/>
    </xf>
    <xf numFmtId="41" fontId="20" fillId="24" borderId="35" xfId="96" applyFont="1" applyFill="1" applyBorder="1" applyAlignment="1">
      <alignment horizontal="center" vertical="center" wrapText="1"/>
    </xf>
    <xf numFmtId="41" fontId="20" fillId="24" borderId="44" xfId="96" applyFont="1" applyFill="1" applyBorder="1" applyAlignment="1">
      <alignment horizontal="center" vertical="center" wrapText="1"/>
    </xf>
    <xf numFmtId="41" fontId="20" fillId="24" borderId="36" xfId="96" applyFont="1" applyFill="1" applyBorder="1" applyAlignment="1">
      <alignment horizontal="center" vertical="center" wrapText="1"/>
    </xf>
    <xf numFmtId="41" fontId="27" fillId="0" borderId="0" xfId="96" applyFont="1" applyAlignment="1">
      <alignment horizontal="center"/>
    </xf>
    <xf numFmtId="41" fontId="20" fillId="24" borderId="42" xfId="96" applyFont="1" applyFill="1" applyBorder="1" applyAlignment="1">
      <alignment horizontal="center" vertical="center" wrapText="1"/>
    </xf>
    <xf numFmtId="41" fontId="20" fillId="24" borderId="45" xfId="96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0" fontId="20" fillId="0" borderId="19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0" fillId="0" borderId="4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omma [0]_MATERAL2" xfId="51"/>
    <cellStyle name="Comma_MATERAL2" xfId="52"/>
    <cellStyle name="Currency [0]_MATERAL2" xfId="53"/>
    <cellStyle name="Currency_MATERAL2" xfId="54"/>
    <cellStyle name="Euro" xfId="55"/>
    <cellStyle name="Normal_Certs Q2" xfId="56"/>
    <cellStyle name="강조색1" xfId="57"/>
    <cellStyle name="강조색1 2" xfId="58"/>
    <cellStyle name="강조색2" xfId="59"/>
    <cellStyle name="강조색2 2" xfId="60"/>
    <cellStyle name="강조색3" xfId="61"/>
    <cellStyle name="강조색3 2" xfId="62"/>
    <cellStyle name="강조색4" xfId="63"/>
    <cellStyle name="강조색4 2" xfId="64"/>
    <cellStyle name="강조색5" xfId="65"/>
    <cellStyle name="강조색5 2" xfId="66"/>
    <cellStyle name="강조색6" xfId="67"/>
    <cellStyle name="강조색6 2" xfId="68"/>
    <cellStyle name="경고문" xfId="69"/>
    <cellStyle name="경고문 2" xfId="70"/>
    <cellStyle name="계산" xfId="71"/>
    <cellStyle name="계산 2" xfId="72"/>
    <cellStyle name="나쁨" xfId="73"/>
    <cellStyle name="나쁨 2" xfId="74"/>
    <cellStyle name="메모" xfId="75"/>
    <cellStyle name="메모 2" xfId="76"/>
    <cellStyle name="Percent" xfId="77"/>
    <cellStyle name="백분율 2" xfId="78"/>
    <cellStyle name="보통" xfId="79"/>
    <cellStyle name="보통 2" xfId="80"/>
    <cellStyle name="설명 텍스트" xfId="81"/>
    <cellStyle name="설명 텍스트 2" xfId="82"/>
    <cellStyle name="셀 확인" xfId="83"/>
    <cellStyle name="셀 확인 2" xfId="84"/>
    <cellStyle name="Comma" xfId="85"/>
    <cellStyle name="Comma [0]" xfId="86"/>
    <cellStyle name="쉼표 [0] 2" xfId="87"/>
    <cellStyle name="쉼표 [0] 2 2" xfId="88"/>
    <cellStyle name="쉼표 [0] 2 3" xfId="89"/>
    <cellStyle name="쉼표 [0] 2 3 2" xfId="90"/>
    <cellStyle name="쉼표 [0] 2 3 2 2" xfId="91"/>
    <cellStyle name="쉼표 [0] 2 3 3" xfId="92"/>
    <cellStyle name="쉼표 [0] 3" xfId="93"/>
    <cellStyle name="쉼표 [0] 3 2" xfId="94"/>
    <cellStyle name="쉼표 [0] 3 3" xfId="95"/>
    <cellStyle name="쉼표 [0] 4" xfId="96"/>
    <cellStyle name="쉼표 [0] 4 2" xfId="97"/>
    <cellStyle name="쉼표 [0] 5" xfId="98"/>
    <cellStyle name="연결된 셀" xfId="99"/>
    <cellStyle name="연결된 셀 2" xfId="100"/>
    <cellStyle name="Followed Hyperlink" xfId="101"/>
    <cellStyle name="요약" xfId="102"/>
    <cellStyle name="요약 2" xfId="103"/>
    <cellStyle name="입력" xfId="104"/>
    <cellStyle name="입력 2" xfId="105"/>
    <cellStyle name="제목" xfId="106"/>
    <cellStyle name="제목 1" xfId="107"/>
    <cellStyle name="제목 1 2" xfId="108"/>
    <cellStyle name="제목 2" xfId="109"/>
    <cellStyle name="제목 2 2" xfId="110"/>
    <cellStyle name="제목 3" xfId="111"/>
    <cellStyle name="제목 3 2" xfId="112"/>
    <cellStyle name="제목 4" xfId="113"/>
    <cellStyle name="제목 4 2" xfId="114"/>
    <cellStyle name="제목 5" xfId="115"/>
    <cellStyle name="좋음" xfId="116"/>
    <cellStyle name="좋음 2" xfId="117"/>
    <cellStyle name="출력" xfId="118"/>
    <cellStyle name="출력 2" xfId="119"/>
    <cellStyle name="콤마 [0]_2000결산" xfId="120"/>
    <cellStyle name="콤마_2000결산" xfId="121"/>
    <cellStyle name="Currency" xfId="122"/>
    <cellStyle name="Currency [0]" xfId="123"/>
    <cellStyle name="통화 [0] 2" xfId="124"/>
    <cellStyle name="통화 [0] 3" xfId="125"/>
    <cellStyle name="표준 2" xfId="126"/>
    <cellStyle name="표준 2 2" xfId="127"/>
    <cellStyle name="표준 2 2 2" xfId="128"/>
    <cellStyle name="표준 2 2 3" xfId="129"/>
    <cellStyle name="표준 2 3" xfId="130"/>
    <cellStyle name="표준 2 4" xfId="131"/>
    <cellStyle name="표준 3" xfId="132"/>
    <cellStyle name="표준 3 2" xfId="133"/>
    <cellStyle name="표준 4" xfId="134"/>
    <cellStyle name="표준 5" xfId="135"/>
    <cellStyle name="표준 6" xfId="136"/>
    <cellStyle name="표준_본예산서(2007 대전캠퍼스 본예산)" xfId="137"/>
    <cellStyle name="표준_예산부속명세(대학)" xfId="138"/>
    <cellStyle name="표준_이사회 보고자료(2008년 본예산)" xfId="139"/>
    <cellStyle name="표준_이사회 보고자료(2008년 본예산)(1)(1)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&#50696;&#49328;&#49436;\98&#52628;&#44221;&#50696;&#49328;&#49436;\'98&#52628;&#44221;&#50696;&#49328;&#49436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5:L24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6384" width="8.88671875" style="73" customWidth="1"/>
  </cols>
  <sheetData>
    <row r="5" spans="1:12" ht="144.75" customHeight="1">
      <c r="A5" s="1216" t="s">
        <v>1258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</row>
    <row r="6" spans="1:12" ht="22.5">
      <c r="A6" s="1215" t="s">
        <v>1259</v>
      </c>
      <c r="B6" s="1215"/>
      <c r="C6" s="1215"/>
      <c r="D6" s="1215"/>
      <c r="E6" s="1215"/>
      <c r="F6" s="1215"/>
      <c r="G6" s="1215"/>
      <c r="H6" s="1215"/>
      <c r="I6" s="1215"/>
      <c r="J6" s="1215"/>
      <c r="K6" s="1215"/>
      <c r="L6" s="1215"/>
    </row>
    <row r="23" spans="1:12" ht="35.25">
      <c r="A23" s="1218" t="s">
        <v>149</v>
      </c>
      <c r="B23" s="1218"/>
      <c r="C23" s="1218"/>
      <c r="D23" s="1218"/>
      <c r="E23" s="1218"/>
      <c r="F23" s="1218"/>
      <c r="G23" s="1218"/>
      <c r="H23" s="1218"/>
      <c r="I23" s="1218"/>
      <c r="J23" s="1218"/>
      <c r="K23" s="1218"/>
      <c r="L23" s="1218"/>
    </row>
    <row r="24" spans="1:12" ht="33.75">
      <c r="A24" s="1219" t="s">
        <v>150</v>
      </c>
      <c r="B24" s="1219"/>
      <c r="C24" s="1219"/>
      <c r="D24" s="1219"/>
      <c r="E24" s="1219"/>
      <c r="F24" s="1219"/>
      <c r="G24" s="1219"/>
      <c r="H24" s="1219"/>
      <c r="I24" s="1219"/>
      <c r="J24" s="1219"/>
      <c r="K24" s="1219"/>
      <c r="L24" s="1219"/>
    </row>
  </sheetData>
  <sheetProtection/>
  <mergeCells count="4">
    <mergeCell ref="A6:L6"/>
    <mergeCell ref="A5:L5"/>
    <mergeCell ref="A23:L23"/>
    <mergeCell ref="A24:L24"/>
  </mergeCells>
  <printOptions/>
  <pageMargins left="0.75" right="0.75" top="0.36" bottom="0.55" header="0.2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4"/>
  <sheetViews>
    <sheetView showGridLines="0" view="pageBreakPreview" zoomScale="85" zoomScaleNormal="75" zoomScaleSheetLayoutView="85" zoomScalePageLayoutView="0" workbookViewId="0" topLeftCell="A1">
      <pane xSplit="3" ySplit="6" topLeftCell="D1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60" sqref="D160:G160"/>
    </sheetView>
  </sheetViews>
  <sheetFormatPr defaultColWidth="8.88671875" defaultRowHeight="13.5"/>
  <cols>
    <col min="1" max="1" width="9.99609375" style="1" customWidth="1"/>
    <col min="2" max="2" width="13.4453125" style="1" customWidth="1"/>
    <col min="3" max="3" width="13.88671875" style="100" customWidth="1"/>
    <col min="4" max="4" width="13.3359375" style="640" customWidth="1"/>
    <col min="5" max="5" width="13.21484375" style="673" customWidth="1"/>
    <col min="6" max="6" width="14.21484375" style="107" customWidth="1"/>
    <col min="7" max="7" width="45.77734375" style="640" customWidth="1"/>
    <col min="8" max="8" width="17.5546875" style="734" customWidth="1"/>
    <col min="9" max="9" width="15.4453125" style="1" bestFit="1" customWidth="1"/>
    <col min="10" max="10" width="8.88671875" style="1" customWidth="1"/>
    <col min="11" max="11" width="15.4453125" style="1" bestFit="1" customWidth="1"/>
    <col min="12" max="16384" width="8.88671875" style="1" customWidth="1"/>
  </cols>
  <sheetData>
    <row r="1" spans="1:8" s="65" customFormat="1" ht="37.5" customHeight="1">
      <c r="A1" s="1326" t="s">
        <v>1325</v>
      </c>
      <c r="B1" s="1326"/>
      <c r="C1" s="1326"/>
      <c r="D1" s="1326"/>
      <c r="E1" s="1326"/>
      <c r="F1" s="1326"/>
      <c r="G1" s="1326"/>
      <c r="H1" s="732"/>
    </row>
    <row r="2" spans="1:8" s="65" customFormat="1" ht="19.5" customHeight="1">
      <c r="A2" s="1327" t="s">
        <v>1251</v>
      </c>
      <c r="B2" s="1327"/>
      <c r="C2" s="1327"/>
      <c r="D2" s="1327"/>
      <c r="E2" s="1327"/>
      <c r="F2" s="1327"/>
      <c r="G2" s="1327"/>
      <c r="H2" s="732"/>
    </row>
    <row r="3" spans="1:8" s="65" customFormat="1" ht="19.5" customHeight="1">
      <c r="A3" s="66" t="s">
        <v>200</v>
      </c>
      <c r="C3" s="212"/>
      <c r="E3" s="668"/>
      <c r="F3" s="103"/>
      <c r="G3" s="843"/>
      <c r="H3" s="732"/>
    </row>
    <row r="4" spans="1:8" s="65" customFormat="1" ht="19.5" customHeight="1">
      <c r="A4" s="66" t="s">
        <v>87</v>
      </c>
      <c r="C4" s="212"/>
      <c r="E4" s="668"/>
      <c r="F4" s="1343" t="s">
        <v>88</v>
      </c>
      <c r="G4" s="1343"/>
      <c r="H4" s="732"/>
    </row>
    <row r="5" spans="1:8" s="2" customFormat="1" ht="28.5" customHeight="1">
      <c r="A5" s="1346" t="s">
        <v>203</v>
      </c>
      <c r="B5" s="1347"/>
      <c r="C5" s="1348"/>
      <c r="D5" s="1339" t="s">
        <v>1326</v>
      </c>
      <c r="E5" s="1339" t="s">
        <v>1327</v>
      </c>
      <c r="F5" s="1413" t="s">
        <v>324</v>
      </c>
      <c r="G5" s="1344" t="s">
        <v>334</v>
      </c>
      <c r="H5" s="733"/>
    </row>
    <row r="6" spans="1:7" ht="28.5" customHeight="1">
      <c r="A6" s="3" t="s">
        <v>113</v>
      </c>
      <c r="B6" s="4" t="s">
        <v>114</v>
      </c>
      <c r="C6" s="213" t="s">
        <v>228</v>
      </c>
      <c r="D6" s="1340"/>
      <c r="E6" s="1340"/>
      <c r="F6" s="1414"/>
      <c r="G6" s="1345"/>
    </row>
    <row r="7" spans="1:7" ht="28.5" customHeight="1">
      <c r="A7" s="1337" t="s">
        <v>61</v>
      </c>
      <c r="B7" s="5"/>
      <c r="C7" s="214"/>
      <c r="D7" s="616"/>
      <c r="E7" s="616"/>
      <c r="F7" s="283"/>
      <c r="G7" s="845"/>
    </row>
    <row r="8" spans="1:7" ht="28.5" customHeight="1" thickBot="1">
      <c r="A8" s="1338"/>
      <c r="B8" s="6"/>
      <c r="C8" s="171"/>
      <c r="D8" s="617">
        <f>D10+D91+D36+D186+D122+D140+D175+D162</f>
        <v>96630917</v>
      </c>
      <c r="E8" s="617">
        <f>E10+E91+E36+E186+E122+E140+E175+E162</f>
        <v>70640049</v>
      </c>
      <c r="F8" s="284">
        <f>SUM(D8-E8)</f>
        <v>25990868</v>
      </c>
      <c r="G8" s="846"/>
    </row>
    <row r="9" spans="1:7" ht="30" customHeight="1" thickTop="1">
      <c r="A9" s="46">
        <v>5100</v>
      </c>
      <c r="B9" s="54"/>
      <c r="C9" s="172"/>
      <c r="D9" s="618"/>
      <c r="E9" s="618"/>
      <c r="F9" s="285"/>
      <c r="G9" s="794"/>
    </row>
    <row r="10" spans="1:7" ht="30" customHeight="1">
      <c r="A10" s="48" t="s">
        <v>206</v>
      </c>
      <c r="B10" s="55"/>
      <c r="C10" s="174"/>
      <c r="D10" s="619">
        <f>D12+D26</f>
        <v>1035740</v>
      </c>
      <c r="E10" s="619">
        <f>E12+E26</f>
        <v>1283000</v>
      </c>
      <c r="F10" s="286">
        <f>D10-E10</f>
        <v>-247260</v>
      </c>
      <c r="G10" s="822"/>
    </row>
    <row r="11" spans="1:7" ht="30" customHeight="1">
      <c r="A11" s="44"/>
      <c r="B11" s="51">
        <v>5110</v>
      </c>
      <c r="C11" s="176"/>
      <c r="D11" s="620"/>
      <c r="E11" s="620"/>
      <c r="F11" s="287"/>
      <c r="G11" s="794"/>
    </row>
    <row r="12" spans="1:7" ht="30" customHeight="1">
      <c r="A12" s="44"/>
      <c r="B12" s="49" t="s">
        <v>115</v>
      </c>
      <c r="C12" s="176"/>
      <c r="D12" s="620">
        <f>D14+D20</f>
        <v>0</v>
      </c>
      <c r="E12" s="620">
        <f>E14+E20</f>
        <v>0</v>
      </c>
      <c r="F12" s="286">
        <f>D12-E12</f>
        <v>0</v>
      </c>
      <c r="G12" s="794"/>
    </row>
    <row r="13" spans="1:7" ht="35.25" customHeight="1">
      <c r="A13" s="44"/>
      <c r="B13" s="49"/>
      <c r="C13" s="177">
        <v>5111</v>
      </c>
      <c r="D13" s="621" t="s">
        <v>3</v>
      </c>
      <c r="E13" s="621" t="s">
        <v>3</v>
      </c>
      <c r="F13" s="288"/>
      <c r="G13" s="799"/>
    </row>
    <row r="14" spans="1:7" ht="35.25" customHeight="1">
      <c r="A14" s="44"/>
      <c r="B14" s="49"/>
      <c r="C14" s="176" t="s">
        <v>10</v>
      </c>
      <c r="D14" s="620">
        <v>0</v>
      </c>
      <c r="E14" s="620">
        <v>0</v>
      </c>
      <c r="F14" s="287">
        <f>D14-E14</f>
        <v>0</v>
      </c>
      <c r="G14" s="894"/>
    </row>
    <row r="15" spans="1:7" ht="35.25" customHeight="1">
      <c r="A15" s="44"/>
      <c r="B15" s="49"/>
      <c r="C15" s="176"/>
      <c r="D15" s="620" t="s">
        <v>3</v>
      </c>
      <c r="E15" s="620" t="s">
        <v>3</v>
      </c>
      <c r="F15" s="287"/>
      <c r="G15" s="894"/>
    </row>
    <row r="16" spans="1:7" ht="35.25" customHeight="1">
      <c r="A16" s="44"/>
      <c r="B16" s="49"/>
      <c r="C16" s="176"/>
      <c r="D16" s="620"/>
      <c r="E16" s="620"/>
      <c r="F16" s="287"/>
      <c r="G16" s="894"/>
    </row>
    <row r="17" spans="1:7" ht="35.25" customHeight="1">
      <c r="A17" s="44"/>
      <c r="B17" s="49"/>
      <c r="C17" s="176"/>
      <c r="D17" s="620"/>
      <c r="E17" s="620"/>
      <c r="F17" s="287"/>
      <c r="G17" s="895"/>
    </row>
    <row r="18" spans="1:7" ht="35.25" customHeight="1">
      <c r="A18" s="44"/>
      <c r="B18" s="49"/>
      <c r="C18" s="221"/>
      <c r="D18" s="622"/>
      <c r="E18" s="622"/>
      <c r="F18" s="293"/>
      <c r="G18" s="896"/>
    </row>
    <row r="19" spans="1:7" ht="30" customHeight="1">
      <c r="A19" s="44"/>
      <c r="B19" s="49"/>
      <c r="C19" s="175">
        <v>5112</v>
      </c>
      <c r="D19" s="620" t="s">
        <v>3</v>
      </c>
      <c r="E19" s="620" t="s">
        <v>3</v>
      </c>
      <c r="F19" s="287"/>
      <c r="G19" s="897"/>
    </row>
    <row r="20" spans="1:7" ht="30" customHeight="1">
      <c r="A20" s="44"/>
      <c r="B20" s="49"/>
      <c r="C20" s="176" t="s">
        <v>11</v>
      </c>
      <c r="D20" s="620">
        <v>0</v>
      </c>
      <c r="E20" s="620">
        <v>0</v>
      </c>
      <c r="F20" s="326">
        <f>D20-E20</f>
        <v>0</v>
      </c>
      <c r="G20" s="894"/>
    </row>
    <row r="21" spans="1:7" ht="30" customHeight="1">
      <c r="A21" s="44"/>
      <c r="B21" s="49"/>
      <c r="C21" s="176"/>
      <c r="D21" s="620"/>
      <c r="E21" s="620"/>
      <c r="F21" s="287"/>
      <c r="G21" s="848"/>
    </row>
    <row r="22" spans="1:7" ht="30" customHeight="1">
      <c r="A22" s="44"/>
      <c r="B22" s="49"/>
      <c r="C22" s="176"/>
      <c r="D22" s="620"/>
      <c r="E22" s="620"/>
      <c r="F22" s="287"/>
      <c r="G22" s="848"/>
    </row>
    <row r="23" spans="1:7" ht="30" customHeight="1">
      <c r="A23" s="44"/>
      <c r="B23" s="49"/>
      <c r="C23" s="176"/>
      <c r="D23" s="620"/>
      <c r="E23" s="620"/>
      <c r="F23" s="287"/>
      <c r="G23" s="848"/>
    </row>
    <row r="24" spans="1:10" ht="30" customHeight="1">
      <c r="A24" s="44"/>
      <c r="B24" s="49"/>
      <c r="C24" s="176"/>
      <c r="D24" s="620"/>
      <c r="E24" s="620"/>
      <c r="F24" s="287"/>
      <c r="G24" s="848"/>
      <c r="H24" s="735"/>
      <c r="I24" s="7"/>
      <c r="J24" s="7"/>
    </row>
    <row r="25" spans="1:10" ht="23.25" customHeight="1">
      <c r="A25" s="44"/>
      <c r="B25" s="56">
        <v>5120</v>
      </c>
      <c r="C25" s="178"/>
      <c r="D25" s="621"/>
      <c r="E25" s="621"/>
      <c r="F25" s="288"/>
      <c r="G25" s="849"/>
      <c r="H25" s="735"/>
      <c r="I25" s="7"/>
      <c r="J25" s="7"/>
    </row>
    <row r="26" spans="1:10" ht="30" customHeight="1">
      <c r="A26" s="44"/>
      <c r="B26" s="49" t="s">
        <v>116</v>
      </c>
      <c r="C26" s="174"/>
      <c r="D26" s="619">
        <f>D28</f>
        <v>1035740</v>
      </c>
      <c r="E26" s="619">
        <f>E28</f>
        <v>1283000</v>
      </c>
      <c r="F26" s="286">
        <f>D26-E26</f>
        <v>-247260</v>
      </c>
      <c r="G26" s="850"/>
      <c r="H26" s="735"/>
      <c r="I26" s="7"/>
      <c r="J26" s="7"/>
    </row>
    <row r="27" spans="1:10" ht="30" customHeight="1">
      <c r="A27" s="44"/>
      <c r="B27" s="49"/>
      <c r="C27" s="176">
        <v>5121</v>
      </c>
      <c r="D27" s="620"/>
      <c r="E27" s="620"/>
      <c r="F27" s="287"/>
      <c r="G27" s="741" t="s">
        <v>1295</v>
      </c>
      <c r="H27" s="735"/>
      <c r="I27" s="7"/>
      <c r="J27" s="7"/>
    </row>
    <row r="28" spans="1:10" ht="30" customHeight="1">
      <c r="A28" s="44"/>
      <c r="B28" s="49"/>
      <c r="C28" s="176" t="s">
        <v>12</v>
      </c>
      <c r="D28" s="620">
        <v>1035740</v>
      </c>
      <c r="E28" s="620">
        <v>1283000</v>
      </c>
      <c r="F28" s="287">
        <f>D28-E28</f>
        <v>-247260</v>
      </c>
      <c r="G28" s="848" t="s">
        <v>1290</v>
      </c>
      <c r="H28" s="735"/>
      <c r="I28" s="7"/>
      <c r="J28" s="7"/>
    </row>
    <row r="29" spans="1:10" ht="30" customHeight="1">
      <c r="A29" s="44"/>
      <c r="B29" s="49"/>
      <c r="C29" s="176"/>
      <c r="D29" s="620"/>
      <c r="E29" s="620"/>
      <c r="F29" s="287"/>
      <c r="G29" s="848" t="s">
        <v>1196</v>
      </c>
      <c r="H29" s="735"/>
      <c r="I29" s="7"/>
      <c r="J29" s="7"/>
    </row>
    <row r="30" spans="1:10" ht="30" customHeight="1">
      <c r="A30" s="44"/>
      <c r="B30" s="49"/>
      <c r="C30" s="176"/>
      <c r="D30" s="620"/>
      <c r="E30" s="620"/>
      <c r="F30" s="287"/>
      <c r="G30" s="851" t="s">
        <v>1197</v>
      </c>
      <c r="H30" s="735"/>
      <c r="I30" s="7"/>
      <c r="J30" s="7"/>
    </row>
    <row r="31" spans="1:10" ht="30" customHeight="1">
      <c r="A31" s="44"/>
      <c r="B31" s="49"/>
      <c r="C31" s="176"/>
      <c r="D31" s="620"/>
      <c r="E31" s="620"/>
      <c r="F31" s="287"/>
      <c r="G31" s="851" t="s">
        <v>1294</v>
      </c>
      <c r="H31" s="735"/>
      <c r="I31" s="7"/>
      <c r="J31" s="7"/>
    </row>
    <row r="32" spans="1:10" ht="30" customHeight="1">
      <c r="A32" s="44"/>
      <c r="B32" s="49"/>
      <c r="C32" s="176"/>
      <c r="D32" s="620"/>
      <c r="E32" s="620"/>
      <c r="F32" s="287"/>
      <c r="G32" s="852" t="s">
        <v>1292</v>
      </c>
      <c r="H32" s="735">
        <v>250000000</v>
      </c>
      <c r="I32" s="7"/>
      <c r="J32" s="7"/>
    </row>
    <row r="33" spans="1:8" ht="28.5" customHeight="1">
      <c r="A33" s="46"/>
      <c r="B33" s="51"/>
      <c r="C33" s="175"/>
      <c r="D33" s="624"/>
      <c r="E33" s="624"/>
      <c r="F33" s="290"/>
      <c r="G33" s="852" t="s">
        <v>1291</v>
      </c>
      <c r="H33" s="734">
        <v>500000000</v>
      </c>
    </row>
    <row r="34" spans="1:8" ht="33" customHeight="1">
      <c r="A34" s="46"/>
      <c r="B34" s="51"/>
      <c r="C34" s="175"/>
      <c r="D34" s="624"/>
      <c r="E34" s="624"/>
      <c r="F34" s="290"/>
      <c r="G34" s="852" t="s">
        <v>1293</v>
      </c>
      <c r="H34" s="734">
        <v>170000000</v>
      </c>
    </row>
    <row r="35" spans="1:10" ht="30" customHeight="1">
      <c r="A35" s="956">
        <v>5200</v>
      </c>
      <c r="B35" s="955"/>
      <c r="C35" s="962"/>
      <c r="D35" s="961"/>
      <c r="E35" s="961"/>
      <c r="F35" s="954"/>
      <c r="G35" s="959"/>
      <c r="H35" s="735"/>
      <c r="I35" s="7"/>
      <c r="J35" s="7"/>
    </row>
    <row r="36" spans="1:10" ht="30" customHeight="1">
      <c r="A36" s="1070" t="s">
        <v>37</v>
      </c>
      <c r="B36" s="1071"/>
      <c r="C36" s="230"/>
      <c r="D36" s="625">
        <f>D38+D54+D69+D85</f>
        <v>36563664</v>
      </c>
      <c r="E36" s="625">
        <f>E38+E54+E69+E85</f>
        <v>34434225</v>
      </c>
      <c r="F36" s="950">
        <f>D36-E36</f>
        <v>2129439</v>
      </c>
      <c r="G36" s="856"/>
      <c r="H36" s="735"/>
      <c r="I36" s="7"/>
      <c r="J36" s="7"/>
    </row>
    <row r="37" spans="1:10" ht="30" customHeight="1">
      <c r="A37" s="62"/>
      <c r="B37" s="51">
        <v>5210</v>
      </c>
      <c r="C37" s="176"/>
      <c r="D37" s="620"/>
      <c r="E37" s="620"/>
      <c r="F37" s="287"/>
      <c r="G37" s="741"/>
      <c r="H37" s="735"/>
      <c r="I37" s="7"/>
      <c r="J37" s="7"/>
    </row>
    <row r="38" spans="1:10" ht="30" customHeight="1">
      <c r="A38" s="44"/>
      <c r="B38" s="49" t="s">
        <v>117</v>
      </c>
      <c r="C38" s="174"/>
      <c r="D38" s="619">
        <f>D40+D42+D48+D50+D52</f>
        <v>15400000</v>
      </c>
      <c r="E38" s="619">
        <f>E40+E42+E48+E50+E52</f>
        <v>15294206</v>
      </c>
      <c r="F38" s="286">
        <f>D38-E38</f>
        <v>105794</v>
      </c>
      <c r="G38" s="855"/>
      <c r="H38" s="735"/>
      <c r="I38" s="7"/>
      <c r="J38" s="7"/>
    </row>
    <row r="39" spans="1:10" ht="22.5" customHeight="1">
      <c r="A39" s="44"/>
      <c r="B39" s="49"/>
      <c r="C39" s="175">
        <v>5211</v>
      </c>
      <c r="D39" s="620"/>
      <c r="E39" s="620"/>
      <c r="F39" s="287"/>
      <c r="G39" s="741" t="s">
        <v>3</v>
      </c>
      <c r="H39" s="735"/>
      <c r="I39" s="7"/>
      <c r="J39" s="7"/>
    </row>
    <row r="40" spans="1:10" ht="27" customHeight="1">
      <c r="A40" s="44"/>
      <c r="B40" s="49"/>
      <c r="C40" s="179" t="s">
        <v>13</v>
      </c>
      <c r="D40" s="620">
        <v>0</v>
      </c>
      <c r="E40" s="620">
        <v>0</v>
      </c>
      <c r="F40" s="286">
        <f>D40-E40</f>
        <v>0</v>
      </c>
      <c r="G40" s="741" t="s">
        <v>3</v>
      </c>
      <c r="H40" s="735"/>
      <c r="I40" s="7"/>
      <c r="J40" s="7"/>
    </row>
    <row r="41" spans="1:10" ht="26.25" customHeight="1">
      <c r="A41" s="44"/>
      <c r="B41" s="49"/>
      <c r="C41" s="177">
        <v>5212</v>
      </c>
      <c r="D41" s="621"/>
      <c r="E41" s="621"/>
      <c r="F41" s="288"/>
      <c r="G41" s="853" t="s">
        <v>3</v>
      </c>
      <c r="H41" s="735"/>
      <c r="I41" s="7"/>
      <c r="J41" s="7"/>
    </row>
    <row r="42" spans="1:11" ht="26.25" customHeight="1">
      <c r="A42" s="44"/>
      <c r="B42" s="49"/>
      <c r="C42" s="176" t="s">
        <v>14</v>
      </c>
      <c r="D42" s="620">
        <v>2700000</v>
      </c>
      <c r="E42" s="620">
        <v>2530000</v>
      </c>
      <c r="F42" s="287">
        <f>D42-E42</f>
        <v>170000</v>
      </c>
      <c r="G42" s="741" t="s">
        <v>1208</v>
      </c>
      <c r="H42" s="735"/>
      <c r="I42" s="7">
        <v>2600000000</v>
      </c>
      <c r="J42" s="7"/>
      <c r="K42" s="190">
        <v>2530000000</v>
      </c>
    </row>
    <row r="43" spans="1:11" ht="26.25" customHeight="1">
      <c r="A43" s="44"/>
      <c r="B43" s="49"/>
      <c r="C43" s="176"/>
      <c r="D43" s="620"/>
      <c r="E43" s="620"/>
      <c r="F43" s="287"/>
      <c r="G43" s="741" t="s">
        <v>1296</v>
      </c>
      <c r="H43" s="958"/>
      <c r="I43" s="7">
        <v>1680000000</v>
      </c>
      <c r="J43" s="958">
        <f>I43/I42</f>
        <v>0.6461538461538462</v>
      </c>
      <c r="K43" s="190">
        <f>K42*J43</f>
        <v>1634769230.7692308</v>
      </c>
    </row>
    <row r="44" spans="1:11" ht="26.25" customHeight="1">
      <c r="A44" s="44"/>
      <c r="B44" s="49"/>
      <c r="C44" s="176"/>
      <c r="D44" s="620"/>
      <c r="E44" s="620"/>
      <c r="F44" s="287"/>
      <c r="G44" s="741" t="s">
        <v>1297</v>
      </c>
      <c r="H44" s="958"/>
      <c r="I44" s="7">
        <v>144000000</v>
      </c>
      <c r="J44" s="958">
        <f>I44/I42</f>
        <v>0.055384615384615386</v>
      </c>
      <c r="K44" s="190">
        <f>K42*J44</f>
        <v>140123076.92307693</v>
      </c>
    </row>
    <row r="45" spans="1:11" ht="26.25" customHeight="1">
      <c r="A45" s="44"/>
      <c r="B45" s="49"/>
      <c r="C45" s="176"/>
      <c r="D45" s="620"/>
      <c r="E45" s="620"/>
      <c r="F45" s="287"/>
      <c r="G45" s="741" t="s">
        <v>1298</v>
      </c>
      <c r="H45" s="958"/>
      <c r="I45" s="7">
        <v>711000000</v>
      </c>
      <c r="J45" s="958">
        <f>I45/I42</f>
        <v>0.2734615384615385</v>
      </c>
      <c r="K45" s="190">
        <f>K42*J45</f>
        <v>691857692.3076924</v>
      </c>
    </row>
    <row r="46" spans="1:11" ht="26.25" customHeight="1">
      <c r="A46" s="44"/>
      <c r="B46" s="49"/>
      <c r="C46" s="174"/>
      <c r="D46" s="619"/>
      <c r="E46" s="619"/>
      <c r="F46" s="286"/>
      <c r="G46" s="855" t="s">
        <v>1299</v>
      </c>
      <c r="H46" s="958"/>
      <c r="I46" s="7">
        <v>65000000</v>
      </c>
      <c r="J46" s="958">
        <f>I46/I42</f>
        <v>0.025</v>
      </c>
      <c r="K46" s="190">
        <f>K42*J46</f>
        <v>63250000</v>
      </c>
    </row>
    <row r="47" spans="1:10" ht="24" customHeight="1">
      <c r="A47" s="44"/>
      <c r="B47" s="49"/>
      <c r="C47" s="176">
        <v>5214</v>
      </c>
      <c r="D47" s="620"/>
      <c r="E47" s="620"/>
      <c r="F47" s="287"/>
      <c r="G47" s="741" t="s">
        <v>337</v>
      </c>
      <c r="H47" s="735"/>
      <c r="I47" s="7"/>
      <c r="J47" s="7"/>
    </row>
    <row r="48" spans="1:10" ht="30" customHeight="1">
      <c r="A48" s="44"/>
      <c r="B48" s="49"/>
      <c r="C48" s="179" t="s">
        <v>15</v>
      </c>
      <c r="D48" s="620">
        <v>9000000</v>
      </c>
      <c r="E48" s="620">
        <v>9064206</v>
      </c>
      <c r="F48" s="287">
        <f>D48-E48</f>
        <v>-64206</v>
      </c>
      <c r="G48" s="856" t="s">
        <v>1300</v>
      </c>
      <c r="H48" s="735"/>
      <c r="I48" s="7"/>
      <c r="J48" s="7"/>
    </row>
    <row r="49" spans="1:10" ht="24.75" customHeight="1">
      <c r="A49" s="44"/>
      <c r="B49" s="49"/>
      <c r="C49" s="178">
        <v>5215</v>
      </c>
      <c r="D49" s="621"/>
      <c r="E49" s="621"/>
      <c r="F49" s="288"/>
      <c r="G49" s="853"/>
      <c r="H49" s="735"/>
      <c r="I49" s="7"/>
      <c r="J49" s="7"/>
    </row>
    <row r="50" spans="1:10" ht="30" customHeight="1">
      <c r="A50" s="44"/>
      <c r="B50" s="49"/>
      <c r="C50" s="965" t="s">
        <v>1203</v>
      </c>
      <c r="D50" s="619">
        <v>0</v>
      </c>
      <c r="E50" s="619">
        <v>0</v>
      </c>
      <c r="F50" s="286">
        <f>D50-E50</f>
        <v>0</v>
      </c>
      <c r="G50" s="856"/>
      <c r="H50" s="735"/>
      <c r="I50" s="7"/>
      <c r="J50" s="7"/>
    </row>
    <row r="51" spans="1:10" ht="21.75" customHeight="1">
      <c r="A51" s="44"/>
      <c r="B51" s="49"/>
      <c r="C51" s="176">
        <v>5218</v>
      </c>
      <c r="D51" s="620"/>
      <c r="E51" s="620"/>
      <c r="F51" s="287"/>
      <c r="G51" s="741" t="s">
        <v>885</v>
      </c>
      <c r="H51" s="735"/>
      <c r="I51" s="7"/>
      <c r="J51" s="7"/>
    </row>
    <row r="52" spans="1:10" ht="33" customHeight="1">
      <c r="A52" s="62"/>
      <c r="B52" s="296"/>
      <c r="C52" s="615" t="s">
        <v>871</v>
      </c>
      <c r="D52" s="625">
        <v>3700000</v>
      </c>
      <c r="E52" s="625">
        <v>3700000</v>
      </c>
      <c r="F52" s="294">
        <f>D52-E52</f>
        <v>0</v>
      </c>
      <c r="G52" s="856" t="s">
        <v>1209</v>
      </c>
      <c r="H52" s="735"/>
      <c r="I52" s="7"/>
      <c r="J52" s="7"/>
    </row>
    <row r="53" spans="1:10" ht="19.5" customHeight="1">
      <c r="A53" s="44"/>
      <c r="B53" s="49">
        <v>5220</v>
      </c>
      <c r="C53" s="176"/>
      <c r="D53" s="620"/>
      <c r="E53" s="620"/>
      <c r="F53" s="291"/>
      <c r="G53" s="858"/>
      <c r="H53" s="735"/>
      <c r="I53" s="7"/>
      <c r="J53" s="7"/>
    </row>
    <row r="54" spans="1:10" ht="30" customHeight="1">
      <c r="A54" s="44"/>
      <c r="B54" s="49" t="s">
        <v>118</v>
      </c>
      <c r="C54" s="174"/>
      <c r="D54" s="619">
        <f>D56+D60+D65+D67</f>
        <v>9197140</v>
      </c>
      <c r="E54" s="619">
        <f>E56+E60+E65+E67</f>
        <v>8780000</v>
      </c>
      <c r="F54" s="286">
        <f>D54-E54</f>
        <v>417140</v>
      </c>
      <c r="G54" s="855"/>
      <c r="H54" s="735"/>
      <c r="I54" s="7"/>
      <c r="J54" s="7"/>
    </row>
    <row r="55" spans="1:10" ht="21.75" customHeight="1">
      <c r="A55" s="62"/>
      <c r="B55" s="49"/>
      <c r="C55" s="178">
        <v>5221</v>
      </c>
      <c r="D55" s="621"/>
      <c r="E55" s="621"/>
      <c r="F55" s="288"/>
      <c r="G55" s="741" t="s">
        <v>1029</v>
      </c>
      <c r="H55" s="735"/>
      <c r="I55" s="7"/>
      <c r="J55" s="7"/>
    </row>
    <row r="56" spans="1:10" ht="30" customHeight="1">
      <c r="A56" s="44"/>
      <c r="B56" s="49"/>
      <c r="C56" s="176" t="s">
        <v>325</v>
      </c>
      <c r="D56" s="620">
        <v>60720</v>
      </c>
      <c r="E56" s="620">
        <v>110000</v>
      </c>
      <c r="F56" s="326">
        <f>D56-E56</f>
        <v>-49280</v>
      </c>
      <c r="G56" s="741" t="s">
        <v>1302</v>
      </c>
      <c r="H56" s="735"/>
      <c r="I56" s="7"/>
      <c r="J56" s="7"/>
    </row>
    <row r="57" spans="1:10" ht="30" customHeight="1">
      <c r="A57" s="44"/>
      <c r="B57" s="49"/>
      <c r="C57" s="176"/>
      <c r="D57" s="620"/>
      <c r="E57" s="620"/>
      <c r="F57" s="326"/>
      <c r="G57" s="741" t="s">
        <v>1028</v>
      </c>
      <c r="H57" s="735"/>
      <c r="I57" s="7"/>
      <c r="J57" s="7"/>
    </row>
    <row r="58" spans="1:10" ht="30" customHeight="1">
      <c r="A58" s="44"/>
      <c r="B58" s="49"/>
      <c r="C58" s="174"/>
      <c r="D58" s="625"/>
      <c r="E58" s="625"/>
      <c r="F58" s="950"/>
      <c r="G58" s="855" t="s">
        <v>1301</v>
      </c>
      <c r="H58" s="735"/>
      <c r="I58" s="7"/>
      <c r="J58" s="7"/>
    </row>
    <row r="59" spans="1:10" ht="21" customHeight="1">
      <c r="A59" s="44"/>
      <c r="B59" s="49"/>
      <c r="C59" s="176">
        <v>5222</v>
      </c>
      <c r="D59" s="620"/>
      <c r="E59" s="620"/>
      <c r="F59" s="287"/>
      <c r="G59" s="741" t="s">
        <v>1304</v>
      </c>
      <c r="H59" s="735"/>
      <c r="I59" s="7"/>
      <c r="J59" s="7"/>
    </row>
    <row r="60" spans="1:10" ht="30" customHeight="1">
      <c r="A60" s="44"/>
      <c r="B60" s="49"/>
      <c r="C60" s="176" t="s">
        <v>326</v>
      </c>
      <c r="D60" s="620">
        <v>9136420</v>
      </c>
      <c r="E60" s="620">
        <v>8600000</v>
      </c>
      <c r="F60" s="287">
        <f>D60-E60</f>
        <v>536420</v>
      </c>
      <c r="G60" s="741" t="s">
        <v>1303</v>
      </c>
      <c r="H60" s="735"/>
      <c r="I60" s="7"/>
      <c r="J60" s="7"/>
    </row>
    <row r="61" spans="1:10" ht="30" customHeight="1">
      <c r="A61" s="44"/>
      <c r="B61" s="49"/>
      <c r="C61" s="176"/>
      <c r="D61" s="620"/>
      <c r="E61" s="620"/>
      <c r="F61" s="287"/>
      <c r="G61" s="741" t="s">
        <v>1004</v>
      </c>
      <c r="H61" s="735"/>
      <c r="I61" s="7"/>
      <c r="J61" s="7"/>
    </row>
    <row r="62" spans="1:10" ht="30" customHeight="1">
      <c r="A62" s="44"/>
      <c r="B62" s="49"/>
      <c r="C62" s="176"/>
      <c r="D62" s="620"/>
      <c r="E62" s="620"/>
      <c r="F62" s="287"/>
      <c r="G62" s="741" t="s">
        <v>1305</v>
      </c>
      <c r="H62" s="735"/>
      <c r="I62" s="7"/>
      <c r="J62" s="7"/>
    </row>
    <row r="63" spans="1:10" ht="30" customHeight="1">
      <c r="A63" s="44"/>
      <c r="B63" s="49"/>
      <c r="C63" s="176"/>
      <c r="D63" s="620"/>
      <c r="E63" s="620"/>
      <c r="F63" s="287"/>
      <c r="G63" s="855" t="s">
        <v>1306</v>
      </c>
      <c r="H63" s="735"/>
      <c r="I63" s="7"/>
      <c r="J63" s="7"/>
    </row>
    <row r="64" spans="1:10" ht="21" customHeight="1">
      <c r="A64" s="44"/>
      <c r="B64" s="49"/>
      <c r="C64" s="178">
        <v>5223</v>
      </c>
      <c r="D64" s="621"/>
      <c r="E64" s="621"/>
      <c r="F64" s="288"/>
      <c r="G64" s="741"/>
      <c r="H64" s="735"/>
      <c r="I64" s="7"/>
      <c r="J64" s="7"/>
    </row>
    <row r="65" spans="1:10" ht="30" customHeight="1">
      <c r="A65" s="44"/>
      <c r="B65" s="55"/>
      <c r="C65" s="174" t="s">
        <v>147</v>
      </c>
      <c r="D65" s="619">
        <v>0</v>
      </c>
      <c r="E65" s="619">
        <v>70000</v>
      </c>
      <c r="F65" s="286">
        <f>D65-E65</f>
        <v>-70000</v>
      </c>
      <c r="G65" s="741"/>
      <c r="H65" s="735"/>
      <c r="I65" s="7"/>
      <c r="J65" s="7"/>
    </row>
    <row r="66" spans="1:10" ht="15.75" customHeight="1">
      <c r="A66" s="44"/>
      <c r="B66" s="49"/>
      <c r="C66" s="178">
        <v>5224</v>
      </c>
      <c r="D66" s="621"/>
      <c r="E66" s="621"/>
      <c r="F66" s="288"/>
      <c r="G66" s="741"/>
      <c r="H66" s="735"/>
      <c r="I66" s="7"/>
      <c r="J66" s="7"/>
    </row>
    <row r="67" spans="1:10" ht="30" customHeight="1">
      <c r="A67" s="44"/>
      <c r="B67" s="55"/>
      <c r="C67" s="882" t="s">
        <v>1005</v>
      </c>
      <c r="D67" s="619">
        <v>0</v>
      </c>
      <c r="E67" s="619">
        <v>0</v>
      </c>
      <c r="F67" s="286">
        <f>D67-E67</f>
        <v>0</v>
      </c>
      <c r="G67" s="741"/>
      <c r="H67" s="735"/>
      <c r="I67" s="7"/>
      <c r="J67" s="7"/>
    </row>
    <row r="68" spans="1:10" ht="30" customHeight="1">
      <c r="A68" s="44"/>
      <c r="B68" s="51">
        <v>5230</v>
      </c>
      <c r="C68" s="176"/>
      <c r="D68" s="620"/>
      <c r="E68" s="620"/>
      <c r="F68" s="287"/>
      <c r="G68" s="853"/>
      <c r="H68" s="735"/>
      <c r="I68" s="7"/>
      <c r="J68" s="7"/>
    </row>
    <row r="69" spans="1:10" ht="30" customHeight="1">
      <c r="A69" s="62"/>
      <c r="B69" s="52" t="s">
        <v>204</v>
      </c>
      <c r="C69" s="174"/>
      <c r="D69" s="619">
        <f>D71+D73+D82</f>
        <v>11966524</v>
      </c>
      <c r="E69" s="619">
        <f>E71+E73+E82</f>
        <v>10360019</v>
      </c>
      <c r="F69" s="286">
        <f>D69-E69</f>
        <v>1606505</v>
      </c>
      <c r="G69" s="855"/>
      <c r="H69" s="735"/>
      <c r="I69" s="7"/>
      <c r="J69" s="7"/>
    </row>
    <row r="70" spans="1:10" ht="25.5" customHeight="1">
      <c r="A70" s="62"/>
      <c r="B70" s="49"/>
      <c r="C70" s="176">
        <v>5231</v>
      </c>
      <c r="D70" s="620"/>
      <c r="E70" s="620"/>
      <c r="F70" s="287"/>
      <c r="G70" s="741"/>
      <c r="H70" s="735"/>
      <c r="I70" s="7"/>
      <c r="J70" s="7"/>
    </row>
    <row r="71" spans="1:10" ht="30" customHeight="1">
      <c r="A71" s="62"/>
      <c r="B71" s="49"/>
      <c r="C71" s="180" t="s">
        <v>16</v>
      </c>
      <c r="D71" s="619">
        <v>0</v>
      </c>
      <c r="E71" s="619">
        <v>0</v>
      </c>
      <c r="F71" s="286">
        <f>D71-E71</f>
        <v>0</v>
      </c>
      <c r="G71" s="855"/>
      <c r="H71" s="735"/>
      <c r="I71" s="7"/>
      <c r="J71" s="7"/>
    </row>
    <row r="72" spans="1:10" ht="25.5" customHeight="1">
      <c r="A72" s="62"/>
      <c r="B72" s="49"/>
      <c r="C72" s="176">
        <v>5232</v>
      </c>
      <c r="D72" s="620"/>
      <c r="E72" s="620"/>
      <c r="F72" s="287"/>
      <c r="G72" s="741"/>
      <c r="H72" s="735"/>
      <c r="I72" s="7"/>
      <c r="J72" s="7"/>
    </row>
    <row r="73" spans="1:10" ht="30" customHeight="1">
      <c r="A73" s="62"/>
      <c r="B73" s="49"/>
      <c r="C73" s="176" t="s">
        <v>17</v>
      </c>
      <c r="D73" s="620">
        <v>11895110</v>
      </c>
      <c r="E73" s="620">
        <v>10355019</v>
      </c>
      <c r="F73" s="287">
        <f>D73-E73</f>
        <v>1540091</v>
      </c>
      <c r="G73" s="741" t="s">
        <v>1198</v>
      </c>
      <c r="H73" s="735"/>
      <c r="I73" s="7"/>
      <c r="J73" s="7"/>
    </row>
    <row r="74" spans="1:10" ht="30" customHeight="1">
      <c r="A74" s="62"/>
      <c r="B74" s="49"/>
      <c r="C74" s="176"/>
      <c r="D74" s="620"/>
      <c r="E74" s="620"/>
      <c r="F74" s="287"/>
      <c r="G74" s="741" t="s">
        <v>1021</v>
      </c>
      <c r="H74" s="735"/>
      <c r="I74" s="7"/>
      <c r="J74" s="7"/>
    </row>
    <row r="75" spans="1:10" ht="30" customHeight="1">
      <c r="A75" s="62"/>
      <c r="B75" s="49"/>
      <c r="C75" s="176"/>
      <c r="D75" s="620"/>
      <c r="E75" s="620"/>
      <c r="F75" s="287"/>
      <c r="G75" s="741" t="s">
        <v>1310</v>
      </c>
      <c r="H75" s="735"/>
      <c r="I75" s="7"/>
      <c r="J75" s="7"/>
    </row>
    <row r="76" spans="1:10" ht="30" customHeight="1">
      <c r="A76" s="62"/>
      <c r="B76" s="49"/>
      <c r="C76" s="176"/>
      <c r="D76" s="620"/>
      <c r="E76" s="620"/>
      <c r="F76" s="326"/>
      <c r="G76" s="741" t="s">
        <v>1311</v>
      </c>
      <c r="H76" s="735"/>
      <c r="I76" s="7"/>
      <c r="J76" s="7"/>
    </row>
    <row r="77" spans="1:10" ht="30" customHeight="1">
      <c r="A77" s="62"/>
      <c r="B77" s="49"/>
      <c r="C77" s="176"/>
      <c r="D77" s="620"/>
      <c r="E77" s="620"/>
      <c r="F77" s="287"/>
      <c r="G77" s="851" t="s">
        <v>1309</v>
      </c>
      <c r="H77" s="735"/>
      <c r="I77" s="7"/>
      <c r="J77" s="7"/>
    </row>
    <row r="78" spans="1:10" ht="30" customHeight="1">
      <c r="A78" s="62"/>
      <c r="B78" s="49"/>
      <c r="C78" s="176"/>
      <c r="D78" s="620"/>
      <c r="E78" s="620"/>
      <c r="F78" s="287"/>
      <c r="G78" s="1062" t="s">
        <v>1308</v>
      </c>
      <c r="H78" s="735"/>
      <c r="I78" s="7"/>
      <c r="J78" s="7"/>
    </row>
    <row r="79" spans="1:10" ht="30" customHeight="1">
      <c r="A79" s="62"/>
      <c r="B79" s="49"/>
      <c r="C79" s="176"/>
      <c r="D79" s="620"/>
      <c r="E79" s="620"/>
      <c r="F79" s="326"/>
      <c r="G79" s="1062" t="s">
        <v>1210</v>
      </c>
      <c r="H79" s="735"/>
      <c r="I79" s="7"/>
      <c r="J79" s="7"/>
    </row>
    <row r="80" spans="1:10" ht="30" customHeight="1">
      <c r="A80" s="62"/>
      <c r="B80" s="49"/>
      <c r="C80" s="176"/>
      <c r="D80" s="620"/>
      <c r="E80" s="620"/>
      <c r="F80" s="326"/>
      <c r="G80" s="1062" t="s">
        <v>1312</v>
      </c>
      <c r="H80" s="735"/>
      <c r="I80" s="7"/>
      <c r="J80" s="7"/>
    </row>
    <row r="81" spans="1:10" ht="24" customHeight="1">
      <c r="A81" s="62"/>
      <c r="B81" s="49"/>
      <c r="C81" s="178">
        <v>5233</v>
      </c>
      <c r="D81" s="621"/>
      <c r="E81" s="621"/>
      <c r="F81" s="288"/>
      <c r="G81" s="853"/>
      <c r="H81" s="735"/>
      <c r="I81" s="7"/>
      <c r="J81" s="7"/>
    </row>
    <row r="82" spans="1:10" ht="30" customHeight="1">
      <c r="A82" s="62"/>
      <c r="B82" s="49"/>
      <c r="C82" s="176" t="s">
        <v>18</v>
      </c>
      <c r="D82" s="620">
        <v>71414</v>
      </c>
      <c r="E82" s="620">
        <v>5000</v>
      </c>
      <c r="F82" s="287">
        <f>D82-E82</f>
        <v>66414</v>
      </c>
      <c r="G82" s="851" t="s">
        <v>965</v>
      </c>
      <c r="H82" s="735"/>
      <c r="I82" s="7"/>
      <c r="J82" s="7"/>
    </row>
    <row r="83" spans="1:10" ht="30" customHeight="1">
      <c r="A83" s="44"/>
      <c r="B83" s="49"/>
      <c r="C83" s="176"/>
      <c r="D83" s="620"/>
      <c r="E83" s="620"/>
      <c r="F83" s="287"/>
      <c r="G83" s="741" t="s">
        <v>1307</v>
      </c>
      <c r="H83" s="735"/>
      <c r="I83" s="7"/>
      <c r="J83" s="7"/>
    </row>
    <row r="84" spans="1:10" ht="30" customHeight="1">
      <c r="A84" s="44"/>
      <c r="B84" s="177">
        <v>5240</v>
      </c>
      <c r="C84" s="178"/>
      <c r="D84" s="621"/>
      <c r="E84" s="621"/>
      <c r="F84" s="288"/>
      <c r="G84" s="853"/>
      <c r="H84" s="735"/>
      <c r="I84" s="7"/>
      <c r="J84" s="7"/>
    </row>
    <row r="85" spans="1:10" ht="30" customHeight="1">
      <c r="A85" s="44"/>
      <c r="B85" s="52" t="s">
        <v>331</v>
      </c>
      <c r="C85" s="230"/>
      <c r="D85" s="625">
        <f>SUM(D87)</f>
        <v>0</v>
      </c>
      <c r="E85" s="625">
        <f>SUM(E87)</f>
        <v>0</v>
      </c>
      <c r="F85" s="625">
        <f>SUM(F87)</f>
        <v>0</v>
      </c>
      <c r="G85" s="856"/>
      <c r="H85" s="735"/>
      <c r="I85" s="7"/>
      <c r="J85" s="7"/>
    </row>
    <row r="86" spans="1:10" ht="30" customHeight="1">
      <c r="A86" s="44"/>
      <c r="B86" s="179"/>
      <c r="C86" s="176">
        <v>5241</v>
      </c>
      <c r="D86" s="620"/>
      <c r="E86" s="620"/>
      <c r="F86" s="287"/>
      <c r="G86" s="741"/>
      <c r="H86" s="735"/>
      <c r="I86" s="7"/>
      <c r="J86" s="7"/>
    </row>
    <row r="87" spans="1:10" ht="30" customHeight="1">
      <c r="A87" s="44"/>
      <c r="B87" s="179"/>
      <c r="C87" s="52" t="s">
        <v>332</v>
      </c>
      <c r="D87" s="620">
        <v>0</v>
      </c>
      <c r="E87" s="620">
        <v>0</v>
      </c>
      <c r="F87" s="287">
        <f>D87-E87</f>
        <v>0</v>
      </c>
      <c r="G87" s="851"/>
      <c r="H87" s="735"/>
      <c r="I87" s="7"/>
      <c r="J87" s="7"/>
    </row>
    <row r="88" spans="1:10" ht="30" customHeight="1">
      <c r="A88" s="44"/>
      <c r="B88" s="179"/>
      <c r="C88" s="176"/>
      <c r="D88" s="620"/>
      <c r="E88" s="620"/>
      <c r="F88" s="287"/>
      <c r="G88" s="741"/>
      <c r="H88" s="735"/>
      <c r="I88" s="7"/>
      <c r="J88" s="7"/>
    </row>
    <row r="89" spans="1:10" ht="30" customHeight="1">
      <c r="A89" s="295"/>
      <c r="B89" s="297"/>
      <c r="C89" s="327"/>
      <c r="D89" s="625"/>
      <c r="E89" s="625"/>
      <c r="F89" s="950"/>
      <c r="G89" s="1069"/>
      <c r="H89" s="735"/>
      <c r="I89" s="7"/>
      <c r="J89" s="7"/>
    </row>
    <row r="90" spans="1:10" ht="30" customHeight="1">
      <c r="A90" s="46">
        <v>5300</v>
      </c>
      <c r="B90" s="49"/>
      <c r="C90" s="176"/>
      <c r="D90" s="620"/>
      <c r="E90" s="620"/>
      <c r="F90" s="287"/>
      <c r="G90" s="1341" t="s">
        <v>3</v>
      </c>
      <c r="H90" s="735"/>
      <c r="I90" s="7"/>
      <c r="J90" s="7"/>
    </row>
    <row r="91" spans="1:10" ht="30" customHeight="1">
      <c r="A91" s="123" t="s">
        <v>207</v>
      </c>
      <c r="B91" s="55"/>
      <c r="C91" s="174"/>
      <c r="D91" s="619">
        <f>D93+D102+D113</f>
        <v>3193227</v>
      </c>
      <c r="E91" s="619">
        <f>E93+E102+E113</f>
        <v>3127000</v>
      </c>
      <c r="F91" s="286">
        <f>D91-E91</f>
        <v>66227</v>
      </c>
      <c r="G91" s="1342"/>
      <c r="H91" s="735"/>
      <c r="I91" s="7"/>
      <c r="J91" s="7"/>
    </row>
    <row r="92" spans="1:10" ht="25.5" customHeight="1">
      <c r="A92" s="46"/>
      <c r="B92" s="51">
        <v>5310</v>
      </c>
      <c r="C92" s="175"/>
      <c r="D92" s="624"/>
      <c r="E92" s="624"/>
      <c r="F92" s="290"/>
      <c r="G92" s="741"/>
      <c r="H92" s="735"/>
      <c r="I92" s="7"/>
      <c r="J92" s="7"/>
    </row>
    <row r="93" spans="1:10" ht="36.75" customHeight="1">
      <c r="A93" s="44"/>
      <c r="B93" s="52" t="s">
        <v>208</v>
      </c>
      <c r="C93" s="174"/>
      <c r="D93" s="619">
        <f>D95+D97</f>
        <v>815475</v>
      </c>
      <c r="E93" s="619">
        <f>E95+E97</f>
        <v>980000</v>
      </c>
      <c r="F93" s="286">
        <f>D93-E93</f>
        <v>-164525</v>
      </c>
      <c r="G93" s="855"/>
      <c r="H93" s="735"/>
      <c r="I93" s="7"/>
      <c r="J93" s="7"/>
    </row>
    <row r="94" spans="1:10" ht="25.5" customHeight="1">
      <c r="A94" s="44"/>
      <c r="B94" s="49"/>
      <c r="C94" s="175">
        <v>5311</v>
      </c>
      <c r="D94" s="620"/>
      <c r="E94" s="620"/>
      <c r="F94" s="287"/>
      <c r="G94" s="741" t="s">
        <v>3</v>
      </c>
      <c r="H94" s="735"/>
      <c r="I94" s="7"/>
      <c r="J94" s="7"/>
    </row>
    <row r="95" spans="1:7" ht="29.25" customHeight="1">
      <c r="A95" s="44"/>
      <c r="B95" s="49"/>
      <c r="C95" s="174" t="s">
        <v>19</v>
      </c>
      <c r="D95" s="619">
        <v>0</v>
      </c>
      <c r="E95" s="619">
        <v>0</v>
      </c>
      <c r="F95" s="286">
        <f>D95-E95</f>
        <v>0</v>
      </c>
      <c r="G95" s="855" t="s">
        <v>3</v>
      </c>
    </row>
    <row r="96" spans="1:10" ht="20.25" customHeight="1">
      <c r="A96" s="44"/>
      <c r="B96" s="49"/>
      <c r="C96" s="175">
        <v>5312</v>
      </c>
      <c r="D96" s="620"/>
      <c r="E96" s="620"/>
      <c r="F96" s="287"/>
      <c r="G96" s="741" t="s">
        <v>3</v>
      </c>
      <c r="H96" s="735"/>
      <c r="I96" s="7"/>
      <c r="J96" s="7"/>
    </row>
    <row r="97" spans="1:10" ht="30" customHeight="1">
      <c r="A97" s="44"/>
      <c r="B97" s="49"/>
      <c r="C97" s="176" t="s">
        <v>20</v>
      </c>
      <c r="D97" s="620">
        <v>815475</v>
      </c>
      <c r="E97" s="620">
        <v>980000</v>
      </c>
      <c r="F97" s="287">
        <f>D97-E97</f>
        <v>-164525</v>
      </c>
      <c r="G97" s="741" t="s">
        <v>943</v>
      </c>
      <c r="H97" s="735"/>
      <c r="I97" s="7"/>
      <c r="J97" s="7"/>
    </row>
    <row r="98" spans="1:10" ht="30" customHeight="1">
      <c r="A98" s="44"/>
      <c r="B98" s="49"/>
      <c r="C98" s="176"/>
      <c r="D98" s="620"/>
      <c r="E98" s="620"/>
      <c r="F98" s="287"/>
      <c r="G98" s="848" t="s">
        <v>1313</v>
      </c>
      <c r="H98" s="735"/>
      <c r="I98" s="7"/>
      <c r="J98" s="7"/>
    </row>
    <row r="99" spans="1:10" ht="30" customHeight="1">
      <c r="A99" s="44"/>
      <c r="B99" s="49"/>
      <c r="C99" s="176"/>
      <c r="D99" s="620"/>
      <c r="E99" s="620"/>
      <c r="F99" s="287"/>
      <c r="G99" s="741" t="s">
        <v>1024</v>
      </c>
      <c r="H99" s="735"/>
      <c r="I99" s="7"/>
      <c r="J99" s="7"/>
    </row>
    <row r="100" spans="1:10" ht="30" customHeight="1">
      <c r="A100" s="44"/>
      <c r="B100" s="55"/>
      <c r="C100" s="174"/>
      <c r="D100" s="619"/>
      <c r="E100" s="619"/>
      <c r="F100" s="286"/>
      <c r="G100" s="855" t="s">
        <v>1314</v>
      </c>
      <c r="H100" s="735"/>
      <c r="I100" s="7"/>
      <c r="J100" s="7"/>
    </row>
    <row r="101" spans="1:10" ht="23.25" customHeight="1">
      <c r="A101" s="44"/>
      <c r="B101" s="51">
        <v>5320</v>
      </c>
      <c r="C101" s="176"/>
      <c r="D101" s="620"/>
      <c r="E101" s="620"/>
      <c r="F101" s="287"/>
      <c r="G101" s="741"/>
      <c r="H101" s="735"/>
      <c r="I101" s="7"/>
      <c r="J101" s="7"/>
    </row>
    <row r="102" spans="1:10" ht="33.75" customHeight="1">
      <c r="A102" s="62"/>
      <c r="B102" s="49" t="s">
        <v>119</v>
      </c>
      <c r="C102" s="174"/>
      <c r="D102" s="619">
        <f>D104+D109</f>
        <v>127496</v>
      </c>
      <c r="E102" s="619">
        <f>E104+E109</f>
        <v>166500</v>
      </c>
      <c r="F102" s="619">
        <f>F104+F109</f>
        <v>-39004</v>
      </c>
      <c r="G102" s="855"/>
      <c r="H102" s="735"/>
      <c r="I102" s="7"/>
      <c r="J102" s="7"/>
    </row>
    <row r="103" spans="1:10" ht="21.75" customHeight="1">
      <c r="A103" s="44"/>
      <c r="B103" s="49"/>
      <c r="C103" s="175">
        <v>5321</v>
      </c>
      <c r="D103" s="620"/>
      <c r="E103" s="620"/>
      <c r="F103" s="287"/>
      <c r="G103" s="741" t="s">
        <v>3</v>
      </c>
      <c r="H103" s="735"/>
      <c r="I103" s="7"/>
      <c r="J103" s="7"/>
    </row>
    <row r="104" spans="1:10" ht="29.25" customHeight="1">
      <c r="A104" s="44"/>
      <c r="B104" s="49"/>
      <c r="C104" s="176" t="s">
        <v>21</v>
      </c>
      <c r="D104" s="620">
        <v>14046</v>
      </c>
      <c r="E104" s="620">
        <v>14500</v>
      </c>
      <c r="F104" s="287">
        <f>D104-E104</f>
        <v>-454</v>
      </c>
      <c r="G104" s="741" t="s">
        <v>944</v>
      </c>
      <c r="H104" s="735"/>
      <c r="I104" s="7"/>
      <c r="J104" s="7"/>
    </row>
    <row r="105" spans="1:10" ht="22.5" customHeight="1">
      <c r="A105" s="62"/>
      <c r="B105" s="49"/>
      <c r="C105" s="176"/>
      <c r="D105" s="620"/>
      <c r="E105" s="620"/>
      <c r="F105" s="287"/>
      <c r="G105" s="848" t="s">
        <v>1316</v>
      </c>
      <c r="H105" s="735"/>
      <c r="I105" s="7"/>
      <c r="J105" s="7"/>
    </row>
    <row r="106" spans="1:10" ht="25.5" customHeight="1">
      <c r="A106" s="44"/>
      <c r="B106" s="49"/>
      <c r="C106" s="176"/>
      <c r="D106" s="620"/>
      <c r="E106" s="620"/>
      <c r="F106" s="287"/>
      <c r="G106" s="741" t="s">
        <v>1023</v>
      </c>
      <c r="H106" s="735"/>
      <c r="I106" s="7"/>
      <c r="J106" s="7"/>
    </row>
    <row r="107" spans="1:10" ht="21.75" customHeight="1">
      <c r="A107" s="44"/>
      <c r="B107" s="49"/>
      <c r="C107" s="174"/>
      <c r="D107" s="619"/>
      <c r="E107" s="619"/>
      <c r="F107" s="286"/>
      <c r="G107" s="855" t="s">
        <v>1315</v>
      </c>
      <c r="H107" s="735"/>
      <c r="I107" s="7"/>
      <c r="J107" s="7"/>
    </row>
    <row r="108" spans="1:10" ht="24" customHeight="1">
      <c r="A108" s="44"/>
      <c r="B108" s="49"/>
      <c r="C108" s="175">
        <v>5322</v>
      </c>
      <c r="D108" s="620"/>
      <c r="E108" s="620"/>
      <c r="F108" s="287"/>
      <c r="G108" s="741" t="s">
        <v>944</v>
      </c>
      <c r="H108" s="735"/>
      <c r="I108" s="7"/>
      <c r="J108" s="7"/>
    </row>
    <row r="109" spans="1:10" ht="27">
      <c r="A109" s="44"/>
      <c r="B109" s="49"/>
      <c r="C109" s="179" t="s">
        <v>22</v>
      </c>
      <c r="D109" s="620">
        <v>113450</v>
      </c>
      <c r="E109" s="620">
        <v>152000</v>
      </c>
      <c r="F109" s="287">
        <f>D109-E109</f>
        <v>-38550</v>
      </c>
      <c r="G109" s="856" t="s">
        <v>1199</v>
      </c>
      <c r="H109" s="735"/>
      <c r="I109" s="7"/>
      <c r="J109" s="7"/>
    </row>
    <row r="110" spans="1:10" ht="24" customHeight="1">
      <c r="A110" s="44"/>
      <c r="B110" s="49"/>
      <c r="C110" s="175"/>
      <c r="D110" s="620"/>
      <c r="E110" s="620"/>
      <c r="F110" s="287"/>
      <c r="G110" s="741" t="s">
        <v>1022</v>
      </c>
      <c r="H110" s="735"/>
      <c r="I110" s="7"/>
      <c r="J110" s="7"/>
    </row>
    <row r="111" spans="1:10" ht="34.5" customHeight="1">
      <c r="A111" s="62"/>
      <c r="B111" s="296"/>
      <c r="C111" s="297"/>
      <c r="D111" s="625"/>
      <c r="E111" s="625"/>
      <c r="F111" s="294"/>
      <c r="G111" s="856" t="s">
        <v>1317</v>
      </c>
      <c r="H111" s="735"/>
      <c r="I111" s="7"/>
      <c r="J111" s="7"/>
    </row>
    <row r="112" spans="1:10" ht="21.75" customHeight="1">
      <c r="A112" s="62"/>
      <c r="B112" s="49">
        <v>5330</v>
      </c>
      <c r="C112" s="176"/>
      <c r="D112" s="620"/>
      <c r="E112" s="620"/>
      <c r="F112" s="287"/>
      <c r="G112" s="741"/>
      <c r="H112" s="735"/>
      <c r="I112" s="7"/>
      <c r="J112" s="7"/>
    </row>
    <row r="113" spans="1:10" ht="31.5" customHeight="1">
      <c r="A113" s="62"/>
      <c r="B113" s="52" t="s">
        <v>25</v>
      </c>
      <c r="C113" s="174"/>
      <c r="D113" s="619">
        <f>SUM(D117,D115)</f>
        <v>2250256</v>
      </c>
      <c r="E113" s="619">
        <f>SUM(E117,E115)</f>
        <v>1980500</v>
      </c>
      <c r="F113" s="286">
        <f>D113-E113</f>
        <v>269756</v>
      </c>
      <c r="G113" s="855"/>
      <c r="H113" s="735"/>
      <c r="I113" s="7"/>
      <c r="J113" s="7"/>
    </row>
    <row r="114" spans="1:10" ht="30" customHeight="1">
      <c r="A114" s="44"/>
      <c r="B114" s="52"/>
      <c r="C114" s="176">
        <v>5331</v>
      </c>
      <c r="D114" s="620"/>
      <c r="E114" s="620"/>
      <c r="F114" s="287"/>
      <c r="G114" s="848" t="s">
        <v>1025</v>
      </c>
      <c r="H114" s="735"/>
      <c r="I114" s="7"/>
      <c r="J114" s="7"/>
    </row>
    <row r="115" spans="1:10" ht="30" customHeight="1">
      <c r="A115" s="62"/>
      <c r="B115" s="52"/>
      <c r="C115" s="180" t="s">
        <v>23</v>
      </c>
      <c r="D115" s="619">
        <v>2000</v>
      </c>
      <c r="E115" s="619">
        <v>40500</v>
      </c>
      <c r="F115" s="286">
        <f>D115-E115</f>
        <v>-38500</v>
      </c>
      <c r="G115" s="848" t="s">
        <v>1318</v>
      </c>
      <c r="H115" s="735"/>
      <c r="I115" s="7"/>
      <c r="J115" s="7"/>
    </row>
    <row r="116" spans="1:10" ht="34.5" customHeight="1">
      <c r="A116" s="44"/>
      <c r="B116" s="49"/>
      <c r="C116" s="176">
        <v>5339</v>
      </c>
      <c r="D116" s="620"/>
      <c r="E116" s="620"/>
      <c r="F116" s="287"/>
      <c r="G116" s="741" t="s">
        <v>3</v>
      </c>
      <c r="H116" s="735"/>
      <c r="I116" s="7"/>
      <c r="J116" s="7"/>
    </row>
    <row r="117" spans="1:10" ht="30" customHeight="1">
      <c r="A117" s="44"/>
      <c r="B117" s="49"/>
      <c r="C117" s="179" t="s">
        <v>25</v>
      </c>
      <c r="D117" s="620">
        <v>2248256</v>
      </c>
      <c r="E117" s="620">
        <v>1940000</v>
      </c>
      <c r="F117" s="287">
        <f>D117-E117</f>
        <v>308256</v>
      </c>
      <c r="G117" s="741" t="s">
        <v>945</v>
      </c>
      <c r="H117" s="735"/>
      <c r="I117" s="7"/>
      <c r="J117" s="7"/>
    </row>
    <row r="118" spans="1:10" ht="30" customHeight="1">
      <c r="A118" s="72"/>
      <c r="B118" s="70"/>
      <c r="C118" s="215"/>
      <c r="D118" s="626"/>
      <c r="E118" s="626"/>
      <c r="F118" s="292"/>
      <c r="G118" s="848" t="s">
        <v>1200</v>
      </c>
      <c r="H118" s="735"/>
      <c r="I118" s="7"/>
      <c r="J118" s="7"/>
    </row>
    <row r="119" spans="1:10" ht="30" customHeight="1">
      <c r="A119" s="44"/>
      <c r="B119" s="49"/>
      <c r="C119" s="179"/>
      <c r="D119" s="620"/>
      <c r="E119" s="620"/>
      <c r="F119" s="287"/>
      <c r="G119" s="741" t="s">
        <v>1026</v>
      </c>
      <c r="H119" s="735"/>
      <c r="I119" s="7"/>
      <c r="J119" s="7"/>
    </row>
    <row r="120" spans="1:10" ht="30" customHeight="1">
      <c r="A120" s="1068"/>
      <c r="B120" s="296"/>
      <c r="C120" s="297"/>
      <c r="D120" s="625"/>
      <c r="E120" s="625"/>
      <c r="F120" s="950"/>
      <c r="G120" s="856" t="s">
        <v>1319</v>
      </c>
      <c r="H120" s="735"/>
      <c r="I120" s="7"/>
      <c r="J120" s="7"/>
    </row>
    <row r="121" spans="1:10" ht="21" customHeight="1">
      <c r="A121" s="46">
        <v>5400</v>
      </c>
      <c r="B121" s="49"/>
      <c r="C121" s="176"/>
      <c r="D121" s="620"/>
      <c r="E121" s="620"/>
      <c r="F121" s="287"/>
      <c r="G121" s="741"/>
      <c r="H121" s="735"/>
      <c r="I121" s="7"/>
      <c r="J121" s="7"/>
    </row>
    <row r="122" spans="1:10" ht="33" customHeight="1">
      <c r="A122" s="123" t="s">
        <v>210</v>
      </c>
      <c r="B122" s="55"/>
      <c r="C122" s="174"/>
      <c r="D122" s="619">
        <f>D124+D131</f>
        <v>1881125</v>
      </c>
      <c r="E122" s="619">
        <f>E124+E131</f>
        <v>2149520</v>
      </c>
      <c r="F122" s="286">
        <f>D122-E122</f>
        <v>-268395</v>
      </c>
      <c r="G122" s="855"/>
      <c r="H122" s="735"/>
      <c r="I122" s="7"/>
      <c r="J122" s="7"/>
    </row>
    <row r="123" spans="1:10" ht="20.25" customHeight="1">
      <c r="A123" s="44"/>
      <c r="B123" s="51">
        <v>5410</v>
      </c>
      <c r="C123" s="176"/>
      <c r="D123" s="620"/>
      <c r="E123" s="620"/>
      <c r="F123" s="287"/>
      <c r="G123" s="741"/>
      <c r="H123" s="735"/>
      <c r="I123" s="7"/>
      <c r="J123" s="7"/>
    </row>
    <row r="124" spans="1:10" ht="30" customHeight="1">
      <c r="A124" s="62"/>
      <c r="B124" s="52" t="s">
        <v>211</v>
      </c>
      <c r="C124" s="174"/>
      <c r="D124" s="619">
        <f>D126</f>
        <v>1861261</v>
      </c>
      <c r="E124" s="619">
        <f>E126</f>
        <v>1900000</v>
      </c>
      <c r="F124" s="286">
        <f>D124-E124</f>
        <v>-38739</v>
      </c>
      <c r="G124" s="855"/>
      <c r="H124" s="735"/>
      <c r="I124" s="7"/>
      <c r="J124" s="7"/>
    </row>
    <row r="125" spans="1:10" ht="24" customHeight="1">
      <c r="A125" s="44"/>
      <c r="B125" s="49"/>
      <c r="C125" s="175">
        <v>5411</v>
      </c>
      <c r="D125" s="620"/>
      <c r="E125" s="620"/>
      <c r="F125" s="287"/>
      <c r="G125" s="741" t="s">
        <v>3</v>
      </c>
      <c r="H125" s="735"/>
      <c r="I125" s="7"/>
      <c r="J125" s="7"/>
    </row>
    <row r="126" spans="1:10" ht="30" customHeight="1">
      <c r="A126" s="62"/>
      <c r="B126" s="49"/>
      <c r="C126" s="176" t="s">
        <v>327</v>
      </c>
      <c r="D126" s="620">
        <v>1861261</v>
      </c>
      <c r="E126" s="620">
        <v>1900000</v>
      </c>
      <c r="F126" s="287">
        <f>D126-E126</f>
        <v>-38739</v>
      </c>
      <c r="G126" s="741" t="s">
        <v>946</v>
      </c>
      <c r="H126" s="735"/>
      <c r="I126" s="7"/>
      <c r="J126" s="7"/>
    </row>
    <row r="127" spans="1:10" ht="27" customHeight="1">
      <c r="A127" s="44"/>
      <c r="B127" s="49"/>
      <c r="C127" s="176"/>
      <c r="D127" s="620"/>
      <c r="E127" s="620"/>
      <c r="F127" s="287"/>
      <c r="G127" s="741" t="s">
        <v>1320</v>
      </c>
      <c r="H127" s="735"/>
      <c r="I127" s="7"/>
      <c r="J127" s="7"/>
    </row>
    <row r="128" spans="1:10" ht="24" customHeight="1">
      <c r="A128" s="44"/>
      <c r="B128" s="49"/>
      <c r="C128" s="176"/>
      <c r="D128" s="620"/>
      <c r="E128" s="620"/>
      <c r="F128" s="287"/>
      <c r="G128" s="741" t="s">
        <v>966</v>
      </c>
      <c r="H128" s="735"/>
      <c r="I128" s="7"/>
      <c r="J128" s="7"/>
    </row>
    <row r="129" spans="1:10" ht="24.75" customHeight="1">
      <c r="A129" s="44"/>
      <c r="B129" s="55"/>
      <c r="C129" s="174"/>
      <c r="D129" s="619"/>
      <c r="E129" s="619"/>
      <c r="F129" s="286"/>
      <c r="G129" s="855" t="s">
        <v>1321</v>
      </c>
      <c r="H129" s="735"/>
      <c r="I129" s="7"/>
      <c r="J129" s="7"/>
    </row>
    <row r="130" spans="1:10" ht="18.75" customHeight="1">
      <c r="A130" s="44"/>
      <c r="B130" s="49">
        <v>5420</v>
      </c>
      <c r="C130" s="175"/>
      <c r="D130" s="620"/>
      <c r="E130" s="620"/>
      <c r="F130" s="287"/>
      <c r="G130" s="741"/>
      <c r="H130" s="735"/>
      <c r="I130" s="7"/>
      <c r="J130" s="7"/>
    </row>
    <row r="131" spans="1:10" ht="35.25" customHeight="1">
      <c r="A131" s="62"/>
      <c r="B131" s="52" t="s">
        <v>212</v>
      </c>
      <c r="C131" s="174"/>
      <c r="D131" s="619">
        <f>D133</f>
        <v>19864</v>
      </c>
      <c r="E131" s="619">
        <f>E133</f>
        <v>249520</v>
      </c>
      <c r="F131" s="286">
        <f>D131-E131</f>
        <v>-229656</v>
      </c>
      <c r="G131" s="855"/>
      <c r="H131" s="735"/>
      <c r="I131" s="7"/>
      <c r="J131" s="7"/>
    </row>
    <row r="132" spans="1:10" ht="30" customHeight="1">
      <c r="A132" s="44"/>
      <c r="B132" s="49"/>
      <c r="C132" s="176">
        <v>5421</v>
      </c>
      <c r="D132" s="620"/>
      <c r="E132" s="620"/>
      <c r="F132" s="287"/>
      <c r="G132" s="741" t="s">
        <v>3</v>
      </c>
      <c r="H132" s="735"/>
      <c r="I132" s="7"/>
      <c r="J132" s="7"/>
    </row>
    <row r="133" spans="1:10" ht="30" customHeight="1">
      <c r="A133" s="44"/>
      <c r="B133" s="49"/>
      <c r="C133" s="176" t="s">
        <v>26</v>
      </c>
      <c r="D133" s="620">
        <v>19864</v>
      </c>
      <c r="E133" s="620">
        <v>249520</v>
      </c>
      <c r="F133" s="287">
        <f>D133-E133</f>
        <v>-229656</v>
      </c>
      <c r="G133" s="741" t="s">
        <v>947</v>
      </c>
      <c r="H133" s="735"/>
      <c r="I133" s="7"/>
      <c r="J133" s="7"/>
    </row>
    <row r="134" spans="1:10" ht="30" customHeight="1">
      <c r="A134" s="44"/>
      <c r="B134" s="49"/>
      <c r="C134" s="176"/>
      <c r="D134" s="620"/>
      <c r="E134" s="620"/>
      <c r="F134" s="287"/>
      <c r="G134" s="1063" t="s">
        <v>1322</v>
      </c>
      <c r="H134" s="735"/>
      <c r="I134" s="7"/>
      <c r="J134" s="7"/>
    </row>
    <row r="135" spans="1:10" ht="30" customHeight="1">
      <c r="A135" s="44"/>
      <c r="B135" s="49"/>
      <c r="C135" s="176"/>
      <c r="D135" s="620"/>
      <c r="E135" s="620"/>
      <c r="F135" s="287"/>
      <c r="G135" s="741" t="s">
        <v>1027</v>
      </c>
      <c r="H135" s="735"/>
      <c r="I135" s="7"/>
      <c r="J135" s="7"/>
    </row>
    <row r="136" spans="1:10" ht="30" customHeight="1" hidden="1">
      <c r="A136" s="44"/>
      <c r="B136" s="49"/>
      <c r="C136" s="176"/>
      <c r="D136" s="620"/>
      <c r="E136" s="620"/>
      <c r="F136" s="287"/>
      <c r="G136" s="741"/>
      <c r="H136" s="735"/>
      <c r="I136" s="7"/>
      <c r="J136" s="7"/>
    </row>
    <row r="137" spans="1:10" ht="30" customHeight="1" hidden="1">
      <c r="A137" s="44"/>
      <c r="B137" s="49"/>
      <c r="C137" s="176"/>
      <c r="D137" s="620"/>
      <c r="E137" s="620"/>
      <c r="F137" s="287"/>
      <c r="G137" s="741"/>
      <c r="H137" s="735"/>
      <c r="I137" s="7"/>
      <c r="J137" s="7"/>
    </row>
    <row r="138" spans="1:10" ht="30" customHeight="1">
      <c r="A138" s="1068"/>
      <c r="B138" s="296"/>
      <c r="C138" s="230"/>
      <c r="D138" s="625"/>
      <c r="E138" s="625"/>
      <c r="F138" s="950"/>
      <c r="G138" s="856" t="s">
        <v>1323</v>
      </c>
      <c r="H138" s="735"/>
      <c r="I138" s="7"/>
      <c r="J138" s="7"/>
    </row>
    <row r="139" spans="1:10" ht="28.5" customHeight="1">
      <c r="A139" s="44">
        <v>1200</v>
      </c>
      <c r="B139" s="49"/>
      <c r="C139" s="176"/>
      <c r="D139" s="620"/>
      <c r="E139" s="620"/>
      <c r="F139" s="287"/>
      <c r="G139" s="741"/>
      <c r="H139" s="735"/>
      <c r="I139" s="7"/>
      <c r="J139" s="7"/>
    </row>
    <row r="140" spans="1:10" ht="33" customHeight="1">
      <c r="A140" s="123" t="s">
        <v>213</v>
      </c>
      <c r="B140" s="296"/>
      <c r="C140" s="230"/>
      <c r="D140" s="625">
        <f>D142+D151+D146</f>
        <v>38281843</v>
      </c>
      <c r="E140" s="625">
        <f>E142+E151+E146</f>
        <v>15002000</v>
      </c>
      <c r="F140" s="294">
        <f>D140-E140</f>
        <v>23279843</v>
      </c>
      <c r="G140" s="856"/>
      <c r="H140" s="735"/>
      <c r="I140" s="7"/>
      <c r="J140" s="7"/>
    </row>
    <row r="141" spans="1:10" ht="33" customHeight="1">
      <c r="A141" s="44"/>
      <c r="B141" s="49">
        <v>1220</v>
      </c>
      <c r="C141" s="176"/>
      <c r="D141" s="620"/>
      <c r="E141" s="620"/>
      <c r="F141" s="287"/>
      <c r="G141" s="741"/>
      <c r="H141" s="735"/>
      <c r="I141" s="7"/>
      <c r="J141" s="7"/>
    </row>
    <row r="142" spans="1:10" ht="33" customHeight="1">
      <c r="A142" s="62"/>
      <c r="B142" s="96" t="s">
        <v>214</v>
      </c>
      <c r="C142" s="174"/>
      <c r="D142" s="619">
        <f>SUM(D144)</f>
        <v>0</v>
      </c>
      <c r="E142" s="619">
        <f>SUM(E144)</f>
        <v>0</v>
      </c>
      <c r="F142" s="286">
        <f>D142-E142</f>
        <v>0</v>
      </c>
      <c r="G142" s="855"/>
      <c r="H142" s="735"/>
      <c r="I142" s="7"/>
      <c r="J142" s="7"/>
    </row>
    <row r="143" spans="1:10" ht="33" customHeight="1">
      <c r="A143" s="44"/>
      <c r="B143" s="49"/>
      <c r="C143" s="176">
        <v>1221</v>
      </c>
      <c r="D143" s="620"/>
      <c r="E143" s="620"/>
      <c r="F143" s="287"/>
      <c r="G143" s="741"/>
      <c r="H143" s="735"/>
      <c r="I143" s="7"/>
      <c r="J143" s="7"/>
    </row>
    <row r="144" spans="1:10" ht="33" customHeight="1">
      <c r="A144" s="62"/>
      <c r="B144" s="55"/>
      <c r="C144" s="180" t="s">
        <v>27</v>
      </c>
      <c r="D144" s="619">
        <v>0</v>
      </c>
      <c r="E144" s="619">
        <v>0</v>
      </c>
      <c r="F144" s="286">
        <f>D144-E144</f>
        <v>0</v>
      </c>
      <c r="G144" s="855" t="s">
        <v>3</v>
      </c>
      <c r="H144" s="735"/>
      <c r="I144" s="7"/>
      <c r="J144" s="7"/>
    </row>
    <row r="145" spans="1:10" ht="28.5" customHeight="1">
      <c r="A145" s="44"/>
      <c r="B145" s="63">
        <v>1240</v>
      </c>
      <c r="C145" s="178"/>
      <c r="D145" s="621"/>
      <c r="E145" s="621"/>
      <c r="F145" s="288"/>
      <c r="G145" s="853"/>
      <c r="H145" s="735"/>
      <c r="I145" s="7"/>
      <c r="J145" s="7"/>
    </row>
    <row r="146" spans="1:10" ht="33" customHeight="1">
      <c r="A146" s="62"/>
      <c r="B146" s="52" t="s">
        <v>216</v>
      </c>
      <c r="C146" s="174"/>
      <c r="D146" s="619">
        <f>D148</f>
        <v>0</v>
      </c>
      <c r="E146" s="619">
        <f>E148</f>
        <v>0</v>
      </c>
      <c r="F146" s="286">
        <f>D146-E146</f>
        <v>0</v>
      </c>
      <c r="G146" s="855"/>
      <c r="H146" s="735"/>
      <c r="I146" s="7"/>
      <c r="J146" s="7"/>
    </row>
    <row r="147" spans="1:10" ht="33" customHeight="1">
      <c r="A147" s="44"/>
      <c r="B147" s="49"/>
      <c r="C147" s="176">
        <v>1242</v>
      </c>
      <c r="D147" s="620"/>
      <c r="E147" s="620"/>
      <c r="F147" s="287"/>
      <c r="G147" s="741"/>
      <c r="H147" s="735"/>
      <c r="I147" s="7"/>
      <c r="J147" s="7"/>
    </row>
    <row r="148" spans="1:10" ht="33" customHeight="1">
      <c r="A148" s="44"/>
      <c r="B148" s="49"/>
      <c r="C148" s="179" t="s">
        <v>28</v>
      </c>
      <c r="D148" s="620">
        <v>0</v>
      </c>
      <c r="E148" s="620">
        <v>0</v>
      </c>
      <c r="F148" s="287">
        <f>D148-E148</f>
        <v>0</v>
      </c>
      <c r="G148" s="741"/>
      <c r="H148" s="735"/>
      <c r="I148" s="7"/>
      <c r="J148" s="7"/>
    </row>
    <row r="149" spans="1:10" ht="33" customHeight="1">
      <c r="A149" s="44"/>
      <c r="B149" s="49"/>
      <c r="C149" s="179"/>
      <c r="D149" s="620"/>
      <c r="E149" s="620"/>
      <c r="F149" s="287"/>
      <c r="G149" s="742"/>
      <c r="H149" s="735"/>
      <c r="I149" s="7"/>
      <c r="J149" s="7"/>
    </row>
    <row r="150" spans="1:10" ht="21" customHeight="1">
      <c r="A150" s="62"/>
      <c r="B150" s="63">
        <v>1260</v>
      </c>
      <c r="C150" s="178"/>
      <c r="D150" s="621"/>
      <c r="E150" s="621"/>
      <c r="F150" s="288"/>
      <c r="G150" s="853"/>
      <c r="H150" s="735"/>
      <c r="I150" s="7"/>
      <c r="J150" s="7"/>
    </row>
    <row r="151" spans="1:10" ht="33" customHeight="1">
      <c r="A151" s="62"/>
      <c r="B151" s="52" t="s">
        <v>215</v>
      </c>
      <c r="C151" s="174"/>
      <c r="D151" s="619">
        <f>D153+D155+D158+D160</f>
        <v>38281843</v>
      </c>
      <c r="E151" s="619">
        <f>E153+E155+E158+E160</f>
        <v>15002000</v>
      </c>
      <c r="F151" s="286">
        <f>D151-E151</f>
        <v>23279843</v>
      </c>
      <c r="G151" s="855"/>
      <c r="H151" s="735"/>
      <c r="I151" s="7"/>
      <c r="J151" s="7"/>
    </row>
    <row r="152" spans="1:10" ht="24" customHeight="1">
      <c r="A152" s="44"/>
      <c r="B152" s="52"/>
      <c r="C152" s="176">
        <v>1262</v>
      </c>
      <c r="D152" s="620"/>
      <c r="E152" s="620"/>
      <c r="F152" s="287"/>
      <c r="G152" s="741"/>
      <c r="H152" s="735"/>
      <c r="I152" s="7"/>
      <c r="J152" s="7"/>
    </row>
    <row r="153" spans="1:10" ht="33" customHeight="1">
      <c r="A153" s="62"/>
      <c r="B153" s="52"/>
      <c r="C153" s="180" t="s">
        <v>29</v>
      </c>
      <c r="D153" s="625">
        <v>0</v>
      </c>
      <c r="E153" s="625">
        <v>2000</v>
      </c>
      <c r="F153" s="950">
        <f>D153-E153</f>
        <v>-2000</v>
      </c>
      <c r="G153" s="855"/>
      <c r="H153" s="735"/>
      <c r="I153" s="7"/>
      <c r="J153" s="7"/>
    </row>
    <row r="154" spans="1:10" ht="33" customHeight="1">
      <c r="A154" s="44"/>
      <c r="B154" s="49"/>
      <c r="C154" s="176">
        <v>1263</v>
      </c>
      <c r="D154" s="620"/>
      <c r="E154" s="620"/>
      <c r="F154" s="287"/>
      <c r="G154" s="741" t="s">
        <v>945</v>
      </c>
      <c r="H154" s="735"/>
      <c r="I154" s="7"/>
      <c r="J154" s="7"/>
    </row>
    <row r="155" spans="1:10" ht="33" customHeight="1">
      <c r="A155" s="44"/>
      <c r="B155" s="49"/>
      <c r="C155" s="179" t="s">
        <v>30</v>
      </c>
      <c r="D155" s="620">
        <v>19224901</v>
      </c>
      <c r="E155" s="620">
        <v>15000000</v>
      </c>
      <c r="F155" s="287">
        <f>D155-E155</f>
        <v>4224901</v>
      </c>
      <c r="G155" s="741" t="s">
        <v>1324</v>
      </c>
      <c r="H155" s="735"/>
      <c r="I155" s="7"/>
      <c r="J155" s="7"/>
    </row>
    <row r="156" spans="1:10" ht="33" customHeight="1">
      <c r="A156" s="62"/>
      <c r="B156" s="55"/>
      <c r="C156" s="180"/>
      <c r="D156" s="619"/>
      <c r="E156" s="619"/>
      <c r="F156" s="286"/>
      <c r="G156" s="856"/>
      <c r="H156" s="735"/>
      <c r="I156" s="7"/>
      <c r="J156" s="7"/>
    </row>
    <row r="157" spans="1:10" ht="33" customHeight="1">
      <c r="A157" s="44"/>
      <c r="B157" s="49"/>
      <c r="C157" s="179">
        <v>1264</v>
      </c>
      <c r="D157" s="620"/>
      <c r="E157" s="620"/>
      <c r="F157" s="287"/>
      <c r="G157" s="741"/>
      <c r="H157" s="735"/>
      <c r="I157" s="7"/>
      <c r="J157" s="7"/>
    </row>
    <row r="158" spans="1:10" ht="33" customHeight="1">
      <c r="A158" s="44"/>
      <c r="B158" s="49"/>
      <c r="C158" s="490" t="s">
        <v>872</v>
      </c>
      <c r="D158" s="619">
        <v>0</v>
      </c>
      <c r="E158" s="619">
        <v>0</v>
      </c>
      <c r="F158" s="286">
        <f>D158-E158</f>
        <v>0</v>
      </c>
      <c r="G158" s="855"/>
      <c r="H158" s="735"/>
      <c r="I158" s="7"/>
      <c r="J158" s="7"/>
    </row>
    <row r="159" spans="1:10" ht="33" customHeight="1">
      <c r="A159" s="44"/>
      <c r="B159" s="49"/>
      <c r="C159" s="179">
        <v>1265</v>
      </c>
      <c r="D159" s="620"/>
      <c r="E159" s="620"/>
      <c r="F159" s="287"/>
      <c r="G159" s="741"/>
      <c r="H159" s="735"/>
      <c r="I159" s="7"/>
      <c r="J159" s="7"/>
    </row>
    <row r="160" spans="1:10" ht="33" customHeight="1">
      <c r="A160" s="47"/>
      <c r="B160" s="50"/>
      <c r="C160" s="878" t="s">
        <v>333</v>
      </c>
      <c r="D160" s="623">
        <v>19056942</v>
      </c>
      <c r="E160" s="623">
        <v>0</v>
      </c>
      <c r="F160" s="289">
        <f>D160-E160</f>
        <v>19056942</v>
      </c>
      <c r="G160" s="854"/>
      <c r="H160" s="735"/>
      <c r="I160" s="7"/>
      <c r="J160" s="7"/>
    </row>
    <row r="161" spans="1:10" ht="26.25" customHeight="1">
      <c r="A161" s="46">
        <v>1300</v>
      </c>
      <c r="B161" s="51"/>
      <c r="C161" s="175"/>
      <c r="D161" s="624"/>
      <c r="E161" s="624"/>
      <c r="F161" s="290"/>
      <c r="G161" s="741"/>
      <c r="H161" s="735"/>
      <c r="I161" s="7"/>
      <c r="J161" s="7"/>
    </row>
    <row r="162" spans="1:10" ht="33" customHeight="1">
      <c r="A162" s="173" t="s">
        <v>330</v>
      </c>
      <c r="B162" s="57"/>
      <c r="C162" s="183"/>
      <c r="D162" s="630">
        <f>SUM(D164)</f>
        <v>0</v>
      </c>
      <c r="E162" s="630">
        <f>SUM(E164)</f>
        <v>0</v>
      </c>
      <c r="F162" s="286">
        <f>D162-E162</f>
        <v>0</v>
      </c>
      <c r="G162" s="855"/>
      <c r="H162" s="735"/>
      <c r="I162" s="7"/>
      <c r="J162" s="7"/>
    </row>
    <row r="163" spans="1:10" ht="24.75" customHeight="1">
      <c r="A163" s="46"/>
      <c r="B163" s="51">
        <v>1310</v>
      </c>
      <c r="C163" s="175"/>
      <c r="D163" s="631"/>
      <c r="E163" s="631"/>
      <c r="F163" s="290"/>
      <c r="G163" s="741"/>
      <c r="H163" s="735"/>
      <c r="I163" s="7"/>
      <c r="J163" s="7"/>
    </row>
    <row r="164" spans="1:7" ht="42" customHeight="1">
      <c r="A164" s="879"/>
      <c r="B164" s="52" t="s">
        <v>217</v>
      </c>
      <c r="C164" s="183"/>
      <c r="D164" s="681">
        <f>SUM(D168,D170,D166,D172)</f>
        <v>0</v>
      </c>
      <c r="E164" s="681">
        <f>SUM(E168,E170,E166,E172)</f>
        <v>0</v>
      </c>
      <c r="F164" s="286">
        <f>D164-E164</f>
        <v>0</v>
      </c>
      <c r="G164" s="855"/>
    </row>
    <row r="165" spans="1:7" ht="21" customHeight="1">
      <c r="A165" s="46"/>
      <c r="B165" s="53"/>
      <c r="C165" s="175">
        <v>1311</v>
      </c>
      <c r="D165" s="633"/>
      <c r="E165" s="633"/>
      <c r="F165" s="287"/>
      <c r="G165" s="741"/>
    </row>
    <row r="166" spans="1:7" ht="33" customHeight="1">
      <c r="A166" s="46"/>
      <c r="B166" s="53"/>
      <c r="C166" s="176" t="s">
        <v>31</v>
      </c>
      <c r="D166" s="634">
        <v>0</v>
      </c>
      <c r="E166" s="634">
        <v>0</v>
      </c>
      <c r="F166" s="251">
        <f>D166-E166</f>
        <v>0</v>
      </c>
      <c r="G166" s="855"/>
    </row>
    <row r="167" spans="1:7" ht="26.25" customHeight="1">
      <c r="A167" s="46"/>
      <c r="B167" s="51"/>
      <c r="C167" s="177">
        <v>1314</v>
      </c>
      <c r="D167" s="635"/>
      <c r="E167" s="635"/>
      <c r="F167" s="290"/>
      <c r="G167" s="865"/>
    </row>
    <row r="168" spans="1:7" ht="33" customHeight="1">
      <c r="A168" s="46"/>
      <c r="B168" s="51"/>
      <c r="C168" s="179" t="s">
        <v>32</v>
      </c>
      <c r="D168" s="634">
        <v>0</v>
      </c>
      <c r="E168" s="634">
        <v>0</v>
      </c>
      <c r="F168" s="244">
        <f>D168-E168</f>
        <v>0</v>
      </c>
      <c r="G168" s="741" t="s">
        <v>3</v>
      </c>
    </row>
    <row r="169" spans="1:7" ht="24" customHeight="1">
      <c r="A169" s="46"/>
      <c r="B169" s="51"/>
      <c r="C169" s="177">
        <v>1315</v>
      </c>
      <c r="D169" s="636"/>
      <c r="E169" s="636"/>
      <c r="F169" s="247"/>
      <c r="G169" s="853"/>
    </row>
    <row r="170" spans="1:7" ht="33" customHeight="1">
      <c r="A170" s="46"/>
      <c r="B170" s="51"/>
      <c r="C170" s="180" t="s">
        <v>33</v>
      </c>
      <c r="D170" s="637">
        <v>0</v>
      </c>
      <c r="E170" s="637">
        <v>0</v>
      </c>
      <c r="F170" s="251">
        <f>D170-E170</f>
        <v>0</v>
      </c>
      <c r="G170" s="855" t="s">
        <v>3</v>
      </c>
    </row>
    <row r="171" spans="1:7" ht="21" customHeight="1">
      <c r="A171" s="46"/>
      <c r="B171" s="53"/>
      <c r="C171" s="175">
        <v>1316</v>
      </c>
      <c r="D171" s="638"/>
      <c r="E171" s="638"/>
      <c r="F171" s="244"/>
      <c r="G171" s="741"/>
    </row>
    <row r="172" spans="1:7" ht="33" customHeight="1">
      <c r="A172" s="46"/>
      <c r="B172" s="53"/>
      <c r="C172" s="179" t="s">
        <v>34</v>
      </c>
      <c r="D172" s="634">
        <v>0</v>
      </c>
      <c r="E172" s="634">
        <v>0</v>
      </c>
      <c r="F172" s="244">
        <f>D172-E172</f>
        <v>0</v>
      </c>
      <c r="G172" s="741"/>
    </row>
    <row r="173" spans="1:7" ht="33" customHeight="1">
      <c r="A173" s="46"/>
      <c r="B173" s="53"/>
      <c r="C173" s="179"/>
      <c r="D173" s="634"/>
      <c r="E173" s="634"/>
      <c r="F173" s="244"/>
      <c r="G173" s="741" t="s">
        <v>3</v>
      </c>
    </row>
    <row r="174" spans="1:7" ht="24.75" customHeight="1">
      <c r="A174" s="877">
        <v>2200</v>
      </c>
      <c r="B174" s="874"/>
      <c r="C174" s="875"/>
      <c r="D174" s="876"/>
      <c r="E174" s="876"/>
      <c r="F174" s="873"/>
      <c r="G174" s="898"/>
    </row>
    <row r="175" spans="1:7" ht="28.5" customHeight="1">
      <c r="A175" s="48" t="s">
        <v>218</v>
      </c>
      <c r="B175" s="55"/>
      <c r="C175" s="174"/>
      <c r="D175" s="619">
        <f>SUM(D177,D181)</f>
        <v>100400</v>
      </c>
      <c r="E175" s="619">
        <f>SUM(E177,E181)</f>
        <v>92000</v>
      </c>
      <c r="F175" s="286">
        <f>D175-E175</f>
        <v>8400</v>
      </c>
      <c r="G175" s="855"/>
    </row>
    <row r="176" spans="1:7" ht="24" customHeight="1">
      <c r="A176" s="44"/>
      <c r="B176" s="63">
        <v>2210</v>
      </c>
      <c r="C176" s="178"/>
      <c r="D176" s="621"/>
      <c r="E176" s="621"/>
      <c r="F176" s="288"/>
      <c r="G176" s="853"/>
    </row>
    <row r="177" spans="1:7" ht="28.5" customHeight="1">
      <c r="A177" s="62"/>
      <c r="B177" s="296" t="s">
        <v>219</v>
      </c>
      <c r="C177" s="230"/>
      <c r="D177" s="625">
        <f>D179</f>
        <v>0</v>
      </c>
      <c r="E177" s="625">
        <f>E179</f>
        <v>0</v>
      </c>
      <c r="F177" s="294">
        <f>D177-E177</f>
        <v>0</v>
      </c>
      <c r="G177" s="856"/>
    </row>
    <row r="178" spans="1:7" ht="24.75" customHeight="1">
      <c r="A178" s="44"/>
      <c r="B178" s="49"/>
      <c r="C178" s="176">
        <v>2211</v>
      </c>
      <c r="D178" s="620"/>
      <c r="E178" s="620"/>
      <c r="F178" s="287"/>
      <c r="G178" s="741"/>
    </row>
    <row r="179" spans="1:7" ht="28.5" customHeight="1">
      <c r="A179" s="44"/>
      <c r="B179" s="55"/>
      <c r="C179" s="180" t="s">
        <v>35</v>
      </c>
      <c r="D179" s="619">
        <v>0</v>
      </c>
      <c r="E179" s="619">
        <v>0</v>
      </c>
      <c r="F179" s="286">
        <f>D179-E179</f>
        <v>0</v>
      </c>
      <c r="G179" s="855" t="s">
        <v>3</v>
      </c>
    </row>
    <row r="180" spans="1:7" ht="25.5" customHeight="1">
      <c r="A180" s="62"/>
      <c r="B180" s="63">
        <v>2220</v>
      </c>
      <c r="C180" s="178"/>
      <c r="D180" s="621"/>
      <c r="E180" s="621"/>
      <c r="F180" s="288"/>
      <c r="G180" s="853"/>
    </row>
    <row r="181" spans="1:10" ht="30" customHeight="1">
      <c r="A181" s="62"/>
      <c r="B181" s="49" t="s">
        <v>220</v>
      </c>
      <c r="C181" s="176"/>
      <c r="D181" s="620">
        <f>D183</f>
        <v>100400</v>
      </c>
      <c r="E181" s="620">
        <f>E183</f>
        <v>92000</v>
      </c>
      <c r="F181" s="286">
        <f>D181-E181</f>
        <v>8400</v>
      </c>
      <c r="G181" s="741"/>
      <c r="H181" s="735"/>
      <c r="I181" s="7"/>
      <c r="J181" s="7"/>
    </row>
    <row r="182" spans="1:10" ht="23.25" customHeight="1">
      <c r="A182" s="44"/>
      <c r="B182" s="49"/>
      <c r="C182" s="178">
        <v>2221</v>
      </c>
      <c r="D182" s="621"/>
      <c r="E182" s="621"/>
      <c r="F182" s="288"/>
      <c r="G182" s="853" t="s">
        <v>967</v>
      </c>
      <c r="H182" s="735"/>
      <c r="I182" s="7"/>
      <c r="J182" s="7"/>
    </row>
    <row r="183" spans="1:10" ht="27" customHeight="1">
      <c r="A183" s="44"/>
      <c r="B183" s="49"/>
      <c r="C183" s="179" t="s">
        <v>36</v>
      </c>
      <c r="D183" s="620">
        <v>100400</v>
      </c>
      <c r="E183" s="620">
        <v>92000</v>
      </c>
      <c r="F183" s="287">
        <f>D183-E183</f>
        <v>8400</v>
      </c>
      <c r="G183" s="741" t="s">
        <v>1328</v>
      </c>
      <c r="H183" s="735"/>
      <c r="I183" s="7"/>
      <c r="J183" s="7"/>
    </row>
    <row r="184" spans="1:10" ht="15.75" customHeight="1">
      <c r="A184" s="44"/>
      <c r="B184" s="49"/>
      <c r="C184" s="179"/>
      <c r="D184" s="620"/>
      <c r="E184" s="620"/>
      <c r="F184" s="287"/>
      <c r="G184" s="741"/>
      <c r="H184" s="735"/>
      <c r="I184" s="7"/>
      <c r="J184" s="7"/>
    </row>
    <row r="185" spans="1:10" ht="23.25" customHeight="1">
      <c r="A185" s="295"/>
      <c r="B185" s="296"/>
      <c r="C185" s="230"/>
      <c r="D185" s="625"/>
      <c r="E185" s="625"/>
      <c r="F185" s="950"/>
      <c r="G185" s="856"/>
      <c r="H185" s="735"/>
      <c r="I185" s="7"/>
      <c r="J185" s="7"/>
    </row>
    <row r="186" spans="1:10" ht="42.75" customHeight="1">
      <c r="A186" s="123" t="s">
        <v>63</v>
      </c>
      <c r="B186" s="52" t="s">
        <v>221</v>
      </c>
      <c r="C186" s="176"/>
      <c r="D186" s="620">
        <v>15574918</v>
      </c>
      <c r="E186" s="620">
        <v>14552304</v>
      </c>
      <c r="F186" s="287">
        <f>D186-E186</f>
        <v>1022614</v>
      </c>
      <c r="G186" s="741"/>
      <c r="H186" s="735"/>
      <c r="I186" s="7"/>
      <c r="J186" s="7"/>
    </row>
    <row r="187" spans="1:10" ht="42.75" customHeight="1">
      <c r="A187" s="328"/>
      <c r="B187" s="1121"/>
      <c r="C187" s="181"/>
      <c r="D187" s="623"/>
      <c r="E187" s="623"/>
      <c r="F187" s="289"/>
      <c r="G187" s="854"/>
      <c r="H187" s="735"/>
      <c r="I187" s="7"/>
      <c r="J187" s="7"/>
    </row>
    <row r="188" spans="1:10" ht="18.75" customHeight="1">
      <c r="A188" s="44"/>
      <c r="B188" s="51">
        <v>1100</v>
      </c>
      <c r="C188" s="176"/>
      <c r="D188" s="620"/>
      <c r="E188" s="620"/>
      <c r="F188" s="287"/>
      <c r="G188" s="741"/>
      <c r="H188" s="735"/>
      <c r="I188" s="7"/>
      <c r="J188" s="7"/>
    </row>
    <row r="189" spans="1:10" ht="30" customHeight="1">
      <c r="A189" s="44"/>
      <c r="B189" s="52" t="s">
        <v>222</v>
      </c>
      <c r="C189" s="230"/>
      <c r="D189" s="625">
        <f>D191+D193</f>
        <v>14064704</v>
      </c>
      <c r="E189" s="625">
        <f>E191+E193</f>
        <v>12761834</v>
      </c>
      <c r="F189" s="294">
        <f>D189-E189</f>
        <v>1302870</v>
      </c>
      <c r="G189" s="856"/>
      <c r="H189" s="735"/>
      <c r="I189" s="7"/>
      <c r="J189" s="7"/>
    </row>
    <row r="190" spans="1:10" ht="24" customHeight="1">
      <c r="A190" s="44"/>
      <c r="B190" s="49"/>
      <c r="C190" s="175">
        <v>1110</v>
      </c>
      <c r="D190" s="620"/>
      <c r="E190" s="620"/>
      <c r="F190" s="287"/>
      <c r="G190" s="741"/>
      <c r="H190" s="735"/>
      <c r="I190" s="7"/>
      <c r="J190" s="7"/>
    </row>
    <row r="191" spans="1:10" ht="26.25" customHeight="1">
      <c r="A191" s="44"/>
      <c r="B191" s="49"/>
      <c r="C191" s="174" t="s">
        <v>328</v>
      </c>
      <c r="D191" s="619">
        <v>12482574</v>
      </c>
      <c r="E191" s="625">
        <v>12761834</v>
      </c>
      <c r="F191" s="286">
        <f>D191-E191</f>
        <v>-279260</v>
      </c>
      <c r="G191" s="855"/>
      <c r="H191" s="735"/>
      <c r="I191" s="7"/>
      <c r="J191" s="7"/>
    </row>
    <row r="192" spans="1:10" ht="25.5" customHeight="1">
      <c r="A192" s="44"/>
      <c r="B192" s="49"/>
      <c r="C192" s="176">
        <v>1120</v>
      </c>
      <c r="D192" s="620" t="s">
        <v>3</v>
      </c>
      <c r="E192" s="620" t="s">
        <v>3</v>
      </c>
      <c r="F192" s="288" t="s">
        <v>3</v>
      </c>
      <c r="G192" s="741"/>
      <c r="H192" s="735"/>
      <c r="I192" s="7"/>
      <c r="J192" s="7"/>
    </row>
    <row r="193" spans="1:10" ht="30" customHeight="1">
      <c r="A193" s="44"/>
      <c r="B193" s="55"/>
      <c r="C193" s="180" t="s">
        <v>56</v>
      </c>
      <c r="D193" s="619">
        <v>1582130</v>
      </c>
      <c r="E193" s="619">
        <v>0</v>
      </c>
      <c r="F193" s="286">
        <f>D193-E193</f>
        <v>1582130</v>
      </c>
      <c r="G193" s="855"/>
      <c r="H193" s="735"/>
      <c r="I193" s="7"/>
      <c r="J193" s="7"/>
    </row>
    <row r="194" spans="1:10" ht="21" customHeight="1">
      <c r="A194" s="44"/>
      <c r="B194" s="49">
        <v>2100</v>
      </c>
      <c r="C194" s="176"/>
      <c r="D194" s="620"/>
      <c r="E194" s="620"/>
      <c r="F194" s="287"/>
      <c r="G194" s="741"/>
      <c r="H194" s="735"/>
      <c r="I194" s="7"/>
      <c r="J194" s="7"/>
    </row>
    <row r="195" spans="1:10" ht="30" customHeight="1">
      <c r="A195" s="44"/>
      <c r="B195" s="52" t="s">
        <v>223</v>
      </c>
      <c r="C195" s="176"/>
      <c r="D195" s="620">
        <f>D197+D199+D201</f>
        <v>489457</v>
      </c>
      <c r="E195" s="620">
        <f>E197+E199+E201</f>
        <v>0</v>
      </c>
      <c r="F195" s="286">
        <f>D195-E195</f>
        <v>489457</v>
      </c>
      <c r="G195" s="741"/>
      <c r="H195" s="735"/>
      <c r="I195" s="7"/>
      <c r="J195" s="7"/>
    </row>
    <row r="196" spans="1:10" ht="18.75" customHeight="1">
      <c r="A196" s="44"/>
      <c r="B196" s="49"/>
      <c r="C196" s="178">
        <v>2120</v>
      </c>
      <c r="D196" s="621"/>
      <c r="E196" s="621"/>
      <c r="F196" s="288"/>
      <c r="G196" s="853"/>
      <c r="H196" s="735"/>
      <c r="I196" s="7"/>
      <c r="J196" s="7"/>
    </row>
    <row r="197" spans="1:10" ht="20.25" customHeight="1">
      <c r="A197" s="44"/>
      <c r="B197" s="49"/>
      <c r="C197" s="176" t="s">
        <v>58</v>
      </c>
      <c r="D197" s="620">
        <v>452815</v>
      </c>
      <c r="E197" s="620">
        <v>0</v>
      </c>
      <c r="F197" s="287">
        <f>D197-E197</f>
        <v>452815</v>
      </c>
      <c r="G197" s="741"/>
      <c r="H197" s="735"/>
      <c r="I197" s="7"/>
      <c r="J197" s="7"/>
    </row>
    <row r="198" spans="1:10" ht="15.75" customHeight="1">
      <c r="A198" s="44"/>
      <c r="B198" s="49"/>
      <c r="C198" s="176">
        <v>2130</v>
      </c>
      <c r="D198" s="620" t="s">
        <v>3</v>
      </c>
      <c r="E198" s="620" t="s">
        <v>3</v>
      </c>
      <c r="F198" s="287"/>
      <c r="G198" s="741"/>
      <c r="H198" s="735"/>
      <c r="I198" s="7"/>
      <c r="J198" s="7"/>
    </row>
    <row r="199" spans="1:10" ht="21" customHeight="1">
      <c r="A199" s="62"/>
      <c r="B199" s="55"/>
      <c r="C199" s="174" t="s">
        <v>59</v>
      </c>
      <c r="D199" s="619">
        <v>0</v>
      </c>
      <c r="E199" s="619">
        <v>0</v>
      </c>
      <c r="F199" s="286">
        <f>D199-E199</f>
        <v>0</v>
      </c>
      <c r="G199" s="855"/>
      <c r="H199" s="735"/>
      <c r="I199" s="7"/>
      <c r="J199" s="7"/>
    </row>
    <row r="200" spans="1:10" ht="23.25" customHeight="1">
      <c r="A200" s="44"/>
      <c r="B200" s="49"/>
      <c r="C200" s="176">
        <v>2140</v>
      </c>
      <c r="D200" s="620" t="s">
        <v>3</v>
      </c>
      <c r="E200" s="620" t="s">
        <v>3</v>
      </c>
      <c r="F200" s="287"/>
      <c r="G200" s="741"/>
      <c r="H200" s="735"/>
      <c r="I200" s="7"/>
      <c r="J200" s="7"/>
    </row>
    <row r="201" spans="1:10" ht="30" customHeight="1">
      <c r="A201" s="47"/>
      <c r="B201" s="50"/>
      <c r="C201" s="182" t="s">
        <v>329</v>
      </c>
      <c r="D201" s="623">
        <v>36642</v>
      </c>
      <c r="E201" s="623">
        <v>0</v>
      </c>
      <c r="F201" s="289">
        <f>D201-E201</f>
        <v>36642</v>
      </c>
      <c r="G201" s="866"/>
      <c r="H201" s="735"/>
      <c r="I201" s="7"/>
      <c r="J201" s="7"/>
    </row>
    <row r="202" spans="1:10" ht="30" customHeight="1">
      <c r="A202" s="8"/>
      <c r="B202" s="8"/>
      <c r="C202" s="217"/>
      <c r="D202" s="867"/>
      <c r="E202" s="669"/>
      <c r="F202" s="104"/>
      <c r="G202" s="869"/>
      <c r="H202" s="735"/>
      <c r="I202" s="7"/>
      <c r="J202" s="7"/>
    </row>
    <row r="203" spans="1:10" ht="30" customHeight="1">
      <c r="A203" s="10"/>
      <c r="B203" s="10"/>
      <c r="C203" s="218"/>
      <c r="D203" s="884">
        <f>D189-D195</f>
        <v>13575247</v>
      </c>
      <c r="E203" s="670"/>
      <c r="F203" s="105"/>
      <c r="G203" s="738"/>
      <c r="H203" s="735"/>
      <c r="I203" s="7"/>
      <c r="J203" s="7"/>
    </row>
    <row r="204" spans="1:10" ht="30" customHeight="1">
      <c r="A204" s="10"/>
      <c r="B204" s="10"/>
      <c r="C204" s="218"/>
      <c r="D204" s="870"/>
      <c r="E204" s="670"/>
      <c r="F204" s="105"/>
      <c r="G204" s="738"/>
      <c r="H204" s="735"/>
      <c r="I204" s="7"/>
      <c r="J204" s="7"/>
    </row>
    <row r="205" spans="1:10" ht="20.25" customHeight="1">
      <c r="A205" s="10"/>
      <c r="B205" s="10"/>
      <c r="C205" s="218"/>
      <c r="D205" s="870"/>
      <c r="E205" s="670"/>
      <c r="F205" s="105"/>
      <c r="G205" s="738"/>
      <c r="H205" s="735"/>
      <c r="I205" s="7"/>
      <c r="J205" s="7"/>
    </row>
    <row r="206" spans="1:10" ht="20.25" customHeight="1">
      <c r="A206" s="10"/>
      <c r="B206" s="10"/>
      <c r="C206" s="218"/>
      <c r="D206" s="870"/>
      <c r="E206" s="670"/>
      <c r="F206" s="105"/>
      <c r="G206" s="738"/>
      <c r="H206" s="735"/>
      <c r="I206" s="7"/>
      <c r="J206" s="7"/>
    </row>
    <row r="207" spans="1:10" ht="20.25" customHeight="1">
      <c r="A207" s="10"/>
      <c r="B207" s="10"/>
      <c r="C207" s="218"/>
      <c r="D207" s="870"/>
      <c r="E207" s="670"/>
      <c r="F207" s="105"/>
      <c r="G207" s="738"/>
      <c r="H207" s="735"/>
      <c r="I207" s="7"/>
      <c r="J207" s="7"/>
    </row>
    <row r="208" spans="1:10" ht="20.25" customHeight="1">
      <c r="A208" s="10"/>
      <c r="B208" s="10"/>
      <c r="C208" s="218"/>
      <c r="D208" s="870"/>
      <c r="E208" s="670"/>
      <c r="F208" s="105"/>
      <c r="G208" s="738"/>
      <c r="H208" s="735"/>
      <c r="I208" s="7"/>
      <c r="J208" s="7"/>
    </row>
    <row r="209" spans="1:10" ht="20.25" customHeight="1">
      <c r="A209" s="10"/>
      <c r="B209" s="10"/>
      <c r="C209" s="218"/>
      <c r="D209" s="870"/>
      <c r="E209" s="671"/>
      <c r="F209" s="105"/>
      <c r="G209" s="738"/>
      <c r="H209" s="735"/>
      <c r="I209" s="7"/>
      <c r="J209" s="7"/>
    </row>
    <row r="210" spans="1:10" ht="20.25" customHeight="1">
      <c r="A210" s="10"/>
      <c r="B210" s="10"/>
      <c r="C210" s="218"/>
      <c r="D210" s="870"/>
      <c r="E210" s="671"/>
      <c r="F210" s="105"/>
      <c r="G210" s="738"/>
      <c r="H210" s="735"/>
      <c r="I210" s="7"/>
      <c r="J210" s="7"/>
    </row>
    <row r="211" spans="1:10" ht="20.25" customHeight="1">
      <c r="A211" s="10"/>
      <c r="B211" s="10"/>
      <c r="C211" s="218"/>
      <c r="D211" s="870"/>
      <c r="E211" s="671"/>
      <c r="F211" s="105"/>
      <c r="G211" s="738"/>
      <c r="H211" s="735"/>
      <c r="I211" s="7"/>
      <c r="J211" s="7"/>
    </row>
    <row r="212" spans="1:10" ht="20.25" customHeight="1">
      <c r="A212" s="10"/>
      <c r="B212" s="10"/>
      <c r="C212" s="218"/>
      <c r="D212" s="870"/>
      <c r="E212" s="671"/>
      <c r="F212" s="105"/>
      <c r="G212" s="738"/>
      <c r="H212" s="735"/>
      <c r="I212" s="7"/>
      <c r="J212" s="7"/>
    </row>
    <row r="213" spans="1:10" ht="20.25" customHeight="1">
      <c r="A213" s="10"/>
      <c r="B213" s="10"/>
      <c r="C213" s="218"/>
      <c r="D213" s="870"/>
      <c r="E213" s="671"/>
      <c r="F213" s="105"/>
      <c r="G213" s="738"/>
      <c r="H213" s="735"/>
      <c r="I213" s="7"/>
      <c r="J213" s="7"/>
    </row>
    <row r="214" spans="1:10" ht="20.25" customHeight="1">
      <c r="A214" s="10"/>
      <c r="B214" s="10"/>
      <c r="C214" s="218"/>
      <c r="D214" s="870"/>
      <c r="E214" s="671"/>
      <c r="F214" s="105"/>
      <c r="G214" s="738"/>
      <c r="H214" s="735"/>
      <c r="I214" s="7"/>
      <c r="J214" s="7"/>
    </row>
    <row r="215" spans="1:10" ht="20.25" customHeight="1">
      <c r="A215" s="10"/>
      <c r="B215" s="10"/>
      <c r="C215" s="218"/>
      <c r="D215" s="870"/>
      <c r="E215" s="671"/>
      <c r="F215" s="105"/>
      <c r="G215" s="738"/>
      <c r="H215" s="735"/>
      <c r="I215" s="7"/>
      <c r="J215" s="7"/>
    </row>
    <row r="216" spans="1:10" ht="20.25" customHeight="1">
      <c r="A216" s="10"/>
      <c r="B216" s="10"/>
      <c r="C216" s="218"/>
      <c r="D216" s="870"/>
      <c r="E216" s="671"/>
      <c r="F216" s="105"/>
      <c r="G216" s="738"/>
      <c r="H216" s="735"/>
      <c r="I216" s="7"/>
      <c r="J216" s="7"/>
    </row>
    <row r="217" spans="1:10" ht="20.25" customHeight="1">
      <c r="A217" s="10"/>
      <c r="B217" s="10"/>
      <c r="C217" s="218"/>
      <c r="D217" s="870"/>
      <c r="E217" s="671"/>
      <c r="F217" s="105"/>
      <c r="G217" s="738"/>
      <c r="H217" s="735"/>
      <c r="I217" s="7"/>
      <c r="J217" s="7"/>
    </row>
    <row r="218" spans="1:10" ht="20.25" customHeight="1">
      <c r="A218" s="10"/>
      <c r="B218" s="10"/>
      <c r="C218" s="218"/>
      <c r="D218" s="870"/>
      <c r="E218" s="671"/>
      <c r="F218" s="105"/>
      <c r="G218" s="738"/>
      <c r="H218" s="735"/>
      <c r="I218" s="7"/>
      <c r="J218" s="7"/>
    </row>
    <row r="219" spans="1:10" ht="20.25" customHeight="1">
      <c r="A219" s="10"/>
      <c r="B219" s="10"/>
      <c r="C219" s="218"/>
      <c r="D219" s="870"/>
      <c r="E219" s="671"/>
      <c r="F219" s="105"/>
      <c r="G219" s="738"/>
      <c r="H219" s="735"/>
      <c r="I219" s="7"/>
      <c r="J219" s="7"/>
    </row>
    <row r="220" spans="1:10" ht="20.25" customHeight="1">
      <c r="A220" s="10"/>
      <c r="B220" s="10"/>
      <c r="C220" s="218"/>
      <c r="D220" s="870"/>
      <c r="E220" s="671"/>
      <c r="F220" s="105"/>
      <c r="G220" s="738"/>
      <c r="H220" s="735"/>
      <c r="I220" s="7"/>
      <c r="J220" s="7"/>
    </row>
    <row r="221" spans="1:10" ht="20.25" customHeight="1">
      <c r="A221" s="10"/>
      <c r="B221" s="10"/>
      <c r="C221" s="218"/>
      <c r="D221" s="870"/>
      <c r="E221" s="671"/>
      <c r="F221" s="105"/>
      <c r="G221" s="738"/>
      <c r="H221" s="735"/>
      <c r="I221" s="7"/>
      <c r="J221" s="7"/>
    </row>
    <row r="222" spans="1:10" ht="20.25" customHeight="1">
      <c r="A222" s="10"/>
      <c r="B222" s="10"/>
      <c r="C222" s="218"/>
      <c r="D222" s="870"/>
      <c r="E222" s="671"/>
      <c r="F222" s="105"/>
      <c r="G222" s="738"/>
      <c r="H222" s="735"/>
      <c r="I222" s="7"/>
      <c r="J222" s="7"/>
    </row>
    <row r="223" spans="1:10" ht="20.25" customHeight="1">
      <c r="A223" s="10"/>
      <c r="B223" s="10"/>
      <c r="C223" s="218"/>
      <c r="D223" s="870"/>
      <c r="E223" s="671"/>
      <c r="F223" s="105"/>
      <c r="G223" s="738"/>
      <c r="H223" s="735"/>
      <c r="I223" s="7"/>
      <c r="J223" s="7"/>
    </row>
    <row r="224" spans="1:10" ht="20.25" customHeight="1">
      <c r="A224" s="10"/>
      <c r="B224" s="10"/>
      <c r="C224" s="218"/>
      <c r="D224" s="870"/>
      <c r="E224" s="671"/>
      <c r="F224" s="105"/>
      <c r="G224" s="738"/>
      <c r="H224" s="735"/>
      <c r="I224" s="7"/>
      <c r="J224" s="7"/>
    </row>
    <row r="225" spans="1:10" ht="20.25" customHeight="1">
      <c r="A225" s="10"/>
      <c r="B225" s="10"/>
      <c r="C225" s="218"/>
      <c r="D225" s="870"/>
      <c r="E225" s="671"/>
      <c r="F225" s="105"/>
      <c r="G225" s="738"/>
      <c r="H225" s="735"/>
      <c r="I225" s="7"/>
      <c r="J225" s="7"/>
    </row>
    <row r="226" spans="1:10" ht="20.25" customHeight="1">
      <c r="A226" s="10"/>
      <c r="B226" s="10"/>
      <c r="C226" s="218"/>
      <c r="D226" s="870"/>
      <c r="E226" s="671"/>
      <c r="F226" s="105"/>
      <c r="G226" s="738"/>
      <c r="H226" s="735"/>
      <c r="I226" s="7"/>
      <c r="J226" s="7"/>
    </row>
    <row r="227" spans="1:10" ht="20.25" customHeight="1">
      <c r="A227" s="12"/>
      <c r="B227" s="12"/>
      <c r="C227" s="219"/>
      <c r="D227" s="871"/>
      <c r="E227" s="672"/>
      <c r="F227" s="106"/>
      <c r="G227" s="739"/>
      <c r="H227" s="735"/>
      <c r="I227" s="7"/>
      <c r="J227" s="7"/>
    </row>
    <row r="228" spans="1:10" ht="20.25" customHeight="1">
      <c r="A228" s="12"/>
      <c r="B228" s="12"/>
      <c r="C228" s="219"/>
      <c r="D228" s="871"/>
      <c r="E228" s="672"/>
      <c r="F228" s="106"/>
      <c r="G228" s="739"/>
      <c r="H228" s="735"/>
      <c r="I228" s="7"/>
      <c r="J228" s="7"/>
    </row>
    <row r="229" spans="1:7" ht="20.25" customHeight="1">
      <c r="A229" s="12"/>
      <c r="B229" s="12"/>
      <c r="C229" s="219"/>
      <c r="D229" s="871"/>
      <c r="E229" s="672"/>
      <c r="F229" s="106"/>
      <c r="G229" s="739"/>
    </row>
    <row r="230" spans="1:7" ht="20.25" customHeight="1">
      <c r="A230" s="12"/>
      <c r="B230" s="12"/>
      <c r="C230" s="219"/>
      <c r="D230" s="871"/>
      <c r="E230" s="672"/>
      <c r="F230" s="106"/>
      <c r="G230" s="739"/>
    </row>
    <row r="231" spans="1:7" ht="20.25" customHeight="1">
      <c r="A231" s="12"/>
      <c r="B231" s="12"/>
      <c r="C231" s="219"/>
      <c r="D231" s="871"/>
      <c r="E231" s="672"/>
      <c r="F231" s="106"/>
      <c r="G231" s="739"/>
    </row>
    <row r="232" spans="1:7" ht="20.25" customHeight="1">
      <c r="A232" s="12"/>
      <c r="B232" s="12"/>
      <c r="C232" s="219"/>
      <c r="D232" s="871"/>
      <c r="E232" s="672"/>
      <c r="F232" s="106"/>
      <c r="G232" s="739"/>
    </row>
    <row r="233" spans="1:7" ht="20.25" customHeight="1">
      <c r="A233" s="12"/>
      <c r="B233" s="12"/>
      <c r="C233" s="219"/>
      <c r="D233" s="871"/>
      <c r="E233" s="672"/>
      <c r="F233" s="106"/>
      <c r="G233" s="739"/>
    </row>
    <row r="234" spans="1:7" ht="20.25" customHeight="1">
      <c r="A234" s="12"/>
      <c r="B234" s="12"/>
      <c r="C234" s="219"/>
      <c r="D234" s="871"/>
      <c r="E234" s="672"/>
      <c r="F234" s="106"/>
      <c r="G234" s="739"/>
    </row>
    <row r="235" spans="1:7" ht="20.25" customHeight="1">
      <c r="A235" s="12"/>
      <c r="B235" s="12"/>
      <c r="C235" s="219"/>
      <c r="D235" s="871"/>
      <c r="E235" s="672"/>
      <c r="F235" s="106"/>
      <c r="G235" s="739"/>
    </row>
    <row r="236" spans="1:7" ht="20.25" customHeight="1">
      <c r="A236" s="12"/>
      <c r="B236" s="12"/>
      <c r="C236" s="219"/>
      <c r="D236" s="871"/>
      <c r="E236" s="672"/>
      <c r="F236" s="106"/>
      <c r="G236" s="739"/>
    </row>
    <row r="237" spans="1:7" ht="20.25" customHeight="1">
      <c r="A237" s="12"/>
      <c r="B237" s="12"/>
      <c r="C237" s="219"/>
      <c r="D237" s="871"/>
      <c r="E237" s="672"/>
      <c r="F237" s="106"/>
      <c r="G237" s="739"/>
    </row>
    <row r="238" spans="1:7" ht="20.25" customHeight="1">
      <c r="A238" s="12"/>
      <c r="B238" s="12"/>
      <c r="C238" s="219"/>
      <c r="D238" s="871"/>
      <c r="E238" s="672"/>
      <c r="F238" s="106"/>
      <c r="G238" s="739"/>
    </row>
    <row r="239" spans="1:7" ht="20.25" customHeight="1">
      <c r="A239" s="12"/>
      <c r="B239" s="12"/>
      <c r="C239" s="219"/>
      <c r="D239" s="871"/>
      <c r="E239" s="672"/>
      <c r="F239" s="106"/>
      <c r="G239" s="739"/>
    </row>
    <row r="240" spans="1:7" ht="20.25" customHeight="1">
      <c r="A240" s="12"/>
      <c r="B240" s="12"/>
      <c r="C240" s="219"/>
      <c r="D240" s="871"/>
      <c r="E240" s="672"/>
      <c r="F240" s="106"/>
      <c r="G240" s="739"/>
    </row>
    <row r="241" spans="1:7" ht="20.25" customHeight="1">
      <c r="A241" s="12"/>
      <c r="B241" s="12"/>
      <c r="C241" s="219"/>
      <c r="D241" s="871"/>
      <c r="E241" s="672"/>
      <c r="F241" s="106"/>
      <c r="G241" s="739"/>
    </row>
    <row r="242" spans="1:7" ht="20.25" customHeight="1">
      <c r="A242" s="12"/>
      <c r="B242" s="12"/>
      <c r="C242" s="219"/>
      <c r="D242" s="871"/>
      <c r="E242" s="672"/>
      <c r="F242" s="106"/>
      <c r="G242" s="739"/>
    </row>
    <row r="243" spans="1:7" ht="20.25" customHeight="1">
      <c r="A243" s="12"/>
      <c r="B243" s="12"/>
      <c r="C243" s="219"/>
      <c r="D243" s="871"/>
      <c r="E243" s="672"/>
      <c r="F243" s="106"/>
      <c r="G243" s="739"/>
    </row>
    <row r="244" spans="1:7" ht="20.25" customHeight="1">
      <c r="A244" s="12"/>
      <c r="B244" s="12"/>
      <c r="C244" s="219"/>
      <c r="D244" s="871"/>
      <c r="E244" s="672"/>
      <c r="F244" s="106"/>
      <c r="G244" s="739"/>
    </row>
    <row r="245" spans="1:7" ht="20.25" customHeight="1">
      <c r="A245" s="12"/>
      <c r="B245" s="12"/>
      <c r="C245" s="219"/>
      <c r="D245" s="871"/>
      <c r="E245" s="672"/>
      <c r="F245" s="106"/>
      <c r="G245" s="739"/>
    </row>
    <row r="246" spans="1:7" ht="20.25" customHeight="1">
      <c r="A246" s="12"/>
      <c r="B246" s="12"/>
      <c r="C246" s="219"/>
      <c r="D246" s="871"/>
      <c r="E246" s="672"/>
      <c r="F246" s="106"/>
      <c r="G246" s="739"/>
    </row>
    <row r="247" spans="1:7" ht="20.25" customHeight="1">
      <c r="A247" s="12"/>
      <c r="B247" s="12"/>
      <c r="C247" s="219"/>
      <c r="D247" s="871"/>
      <c r="E247" s="672"/>
      <c r="F247" s="106"/>
      <c r="G247" s="739"/>
    </row>
    <row r="248" spans="1:7" ht="20.25" customHeight="1">
      <c r="A248" s="12"/>
      <c r="B248" s="12"/>
      <c r="C248" s="219"/>
      <c r="D248" s="871"/>
      <c r="E248" s="672"/>
      <c r="F248" s="106"/>
      <c r="G248" s="739"/>
    </row>
    <row r="249" spans="1:7" ht="20.25" customHeight="1">
      <c r="A249" s="12"/>
      <c r="B249" s="12"/>
      <c r="C249" s="219"/>
      <c r="D249" s="871"/>
      <c r="E249" s="672"/>
      <c r="F249" s="106"/>
      <c r="G249" s="739"/>
    </row>
    <row r="250" spans="1:7" ht="20.25" customHeight="1">
      <c r="A250" s="12"/>
      <c r="B250" s="12"/>
      <c r="C250" s="219"/>
      <c r="D250" s="871"/>
      <c r="E250" s="672"/>
      <c r="F250" s="106"/>
      <c r="G250" s="739"/>
    </row>
    <row r="251" spans="1:7" ht="20.25" customHeight="1">
      <c r="A251" s="12"/>
      <c r="B251" s="12"/>
      <c r="C251" s="219"/>
      <c r="D251" s="871"/>
      <c r="E251" s="672"/>
      <c r="F251" s="106"/>
      <c r="G251" s="739"/>
    </row>
    <row r="252" spans="1:7" ht="20.25" customHeight="1">
      <c r="A252" s="12"/>
      <c r="B252" s="12"/>
      <c r="C252" s="219"/>
      <c r="D252" s="871"/>
      <c r="E252" s="672"/>
      <c r="F252" s="106"/>
      <c r="G252" s="739"/>
    </row>
    <row r="253" spans="1:7" ht="20.25" customHeight="1">
      <c r="A253" s="12"/>
      <c r="B253" s="12"/>
      <c r="C253" s="219"/>
      <c r="D253" s="871"/>
      <c r="E253" s="672"/>
      <c r="F253" s="106"/>
      <c r="G253" s="739"/>
    </row>
    <row r="254" spans="1:7" ht="20.25" customHeight="1">
      <c r="A254" s="12"/>
      <c r="B254" s="12"/>
      <c r="C254" s="219"/>
      <c r="D254" s="871"/>
      <c r="E254" s="672"/>
      <c r="F254" s="106"/>
      <c r="G254" s="739"/>
    </row>
    <row r="255" spans="1:7" ht="20.25" customHeight="1">
      <c r="A255" s="12"/>
      <c r="B255" s="12"/>
      <c r="C255" s="219"/>
      <c r="D255" s="871"/>
      <c r="E255" s="672"/>
      <c r="F255" s="106"/>
      <c r="G255" s="739"/>
    </row>
    <row r="256" spans="1:7" ht="20.25" customHeight="1">
      <c r="A256" s="12"/>
      <c r="B256" s="12"/>
      <c r="C256" s="219"/>
      <c r="D256" s="871"/>
      <c r="E256" s="672"/>
      <c r="F256" s="106"/>
      <c r="G256" s="739"/>
    </row>
    <row r="257" spans="1:7" ht="20.25" customHeight="1">
      <c r="A257" s="12"/>
      <c r="B257" s="12"/>
      <c r="C257" s="219"/>
      <c r="D257" s="871"/>
      <c r="E257" s="672"/>
      <c r="F257" s="106"/>
      <c r="G257" s="739"/>
    </row>
    <row r="258" spans="1:7" ht="20.25" customHeight="1">
      <c r="A258" s="12"/>
      <c r="B258" s="12"/>
      <c r="C258" s="219"/>
      <c r="D258" s="871"/>
      <c r="E258" s="672"/>
      <c r="F258" s="106"/>
      <c r="G258" s="739"/>
    </row>
    <row r="259" spans="1:7" ht="20.25" customHeight="1">
      <c r="A259" s="12"/>
      <c r="B259" s="12"/>
      <c r="C259" s="219"/>
      <c r="D259" s="871"/>
      <c r="E259" s="672"/>
      <c r="F259" s="106"/>
      <c r="G259" s="739"/>
    </row>
    <row r="260" spans="1:7" ht="20.25" customHeight="1">
      <c r="A260" s="12"/>
      <c r="B260" s="12"/>
      <c r="C260" s="219"/>
      <c r="D260" s="871"/>
      <c r="E260" s="672"/>
      <c r="F260" s="106"/>
      <c r="G260" s="739"/>
    </row>
    <row r="261" spans="1:7" ht="20.25" customHeight="1">
      <c r="A261" s="12"/>
      <c r="B261" s="12"/>
      <c r="C261" s="219"/>
      <c r="D261" s="871"/>
      <c r="E261" s="672"/>
      <c r="F261" s="106"/>
      <c r="G261" s="739"/>
    </row>
    <row r="262" spans="1:7" ht="20.25" customHeight="1">
      <c r="A262" s="12"/>
      <c r="B262" s="12"/>
      <c r="C262" s="219"/>
      <c r="D262" s="871"/>
      <c r="E262" s="672"/>
      <c r="F262" s="106"/>
      <c r="G262" s="739"/>
    </row>
    <row r="263" spans="1:7" ht="20.25" customHeight="1">
      <c r="A263" s="12"/>
      <c r="B263" s="12"/>
      <c r="C263" s="219"/>
      <c r="D263" s="871"/>
      <c r="E263" s="672"/>
      <c r="F263" s="106"/>
      <c r="G263" s="739"/>
    </row>
    <row r="264" spans="1:7" ht="20.25" customHeight="1">
      <c r="A264" s="12"/>
      <c r="B264" s="12"/>
      <c r="C264" s="219"/>
      <c r="D264" s="871"/>
      <c r="E264" s="672"/>
      <c r="F264" s="106"/>
      <c r="G264" s="739"/>
    </row>
    <row r="265" spans="1:7" ht="20.25" customHeight="1">
      <c r="A265" s="12"/>
      <c r="B265" s="12"/>
      <c r="C265" s="219"/>
      <c r="D265" s="871"/>
      <c r="E265" s="672"/>
      <c r="F265" s="106"/>
      <c r="G265" s="739"/>
    </row>
    <row r="266" spans="1:7" ht="20.25" customHeight="1">
      <c r="A266" s="12"/>
      <c r="B266" s="12"/>
      <c r="C266" s="219"/>
      <c r="D266" s="871"/>
      <c r="E266" s="672"/>
      <c r="F266" s="106"/>
      <c r="G266" s="739"/>
    </row>
    <row r="267" spans="1:7" ht="20.25" customHeight="1">
      <c r="A267" s="12"/>
      <c r="B267" s="12"/>
      <c r="C267" s="219"/>
      <c r="D267" s="871"/>
      <c r="E267" s="672"/>
      <c r="F267" s="106"/>
      <c r="G267" s="739"/>
    </row>
    <row r="268" spans="1:7" ht="20.25" customHeight="1">
      <c r="A268" s="12"/>
      <c r="B268" s="12"/>
      <c r="C268" s="219"/>
      <c r="D268" s="871"/>
      <c r="E268" s="672"/>
      <c r="F268" s="106"/>
      <c r="G268" s="739"/>
    </row>
    <row r="269" spans="1:7" ht="20.25" customHeight="1">
      <c r="A269" s="12"/>
      <c r="B269" s="12"/>
      <c r="C269" s="219"/>
      <c r="D269" s="871"/>
      <c r="E269" s="672"/>
      <c r="F269" s="106"/>
      <c r="G269" s="739"/>
    </row>
    <row r="270" spans="1:7" ht="20.25" customHeight="1">
      <c r="A270" s="12"/>
      <c r="B270" s="12"/>
      <c r="C270" s="219"/>
      <c r="D270" s="871"/>
      <c r="E270" s="672"/>
      <c r="F270" s="106"/>
      <c r="G270" s="739"/>
    </row>
    <row r="271" spans="1:7" ht="20.25" customHeight="1">
      <c r="A271" s="12"/>
      <c r="B271" s="12"/>
      <c r="C271" s="219"/>
      <c r="D271" s="871"/>
      <c r="E271" s="672"/>
      <c r="F271" s="106"/>
      <c r="G271" s="739"/>
    </row>
    <row r="272" spans="1:7" ht="20.25" customHeight="1">
      <c r="A272" s="12"/>
      <c r="B272" s="12"/>
      <c r="C272" s="219"/>
      <c r="D272" s="871"/>
      <c r="E272" s="672"/>
      <c r="F272" s="106"/>
      <c r="G272" s="739"/>
    </row>
    <row r="273" spans="1:7" ht="20.25" customHeight="1">
      <c r="A273" s="12"/>
      <c r="B273" s="12"/>
      <c r="C273" s="219"/>
      <c r="D273" s="871"/>
      <c r="E273" s="672"/>
      <c r="F273" s="106"/>
      <c r="G273" s="739"/>
    </row>
    <row r="274" spans="1:7" ht="20.25" customHeight="1">
      <c r="A274" s="12"/>
      <c r="B274" s="12"/>
      <c r="C274" s="219"/>
      <c r="D274" s="871"/>
      <c r="E274" s="672"/>
      <c r="F274" s="106"/>
      <c r="G274" s="739"/>
    </row>
    <row r="275" spans="1:7" ht="20.25" customHeight="1">
      <c r="A275" s="12"/>
      <c r="B275" s="12"/>
      <c r="C275" s="219"/>
      <c r="D275" s="871"/>
      <c r="E275" s="672"/>
      <c r="F275" s="106"/>
      <c r="G275" s="739"/>
    </row>
    <row r="276" spans="1:7" ht="20.25" customHeight="1">
      <c r="A276" s="12"/>
      <c r="B276" s="12"/>
      <c r="C276" s="219"/>
      <c r="D276" s="871"/>
      <c r="E276" s="672"/>
      <c r="F276" s="106"/>
      <c r="G276" s="739"/>
    </row>
    <row r="277" spans="1:7" ht="20.25" customHeight="1">
      <c r="A277" s="12"/>
      <c r="B277" s="12"/>
      <c r="C277" s="219"/>
      <c r="D277" s="871"/>
      <c r="E277" s="672"/>
      <c r="F277" s="106"/>
      <c r="G277" s="739"/>
    </row>
    <row r="278" spans="1:7" ht="20.25" customHeight="1">
      <c r="A278" s="12"/>
      <c r="B278" s="12"/>
      <c r="C278" s="219"/>
      <c r="D278" s="871"/>
      <c r="E278" s="672"/>
      <c r="F278" s="106"/>
      <c r="G278" s="739"/>
    </row>
    <row r="279" spans="1:7" ht="20.25" customHeight="1">
      <c r="A279" s="12"/>
      <c r="B279" s="12"/>
      <c r="C279" s="219"/>
      <c r="D279" s="871"/>
      <c r="E279" s="672"/>
      <c r="F279" s="106"/>
      <c r="G279" s="739"/>
    </row>
    <row r="280" spans="1:7" ht="20.25" customHeight="1">
      <c r="A280" s="12"/>
      <c r="B280" s="12"/>
      <c r="C280" s="219"/>
      <c r="D280" s="871"/>
      <c r="E280" s="672"/>
      <c r="F280" s="106"/>
      <c r="G280" s="739"/>
    </row>
    <row r="281" spans="1:7" ht="20.25" customHeight="1">
      <c r="A281" s="12"/>
      <c r="B281" s="12"/>
      <c r="C281" s="219"/>
      <c r="D281" s="871"/>
      <c r="E281" s="672"/>
      <c r="F281" s="106"/>
      <c r="G281" s="739"/>
    </row>
    <row r="282" spans="1:7" ht="20.25" customHeight="1">
      <c r="A282" s="12"/>
      <c r="B282" s="12"/>
      <c r="C282" s="219"/>
      <c r="D282" s="871"/>
      <c r="E282" s="672"/>
      <c r="F282" s="106"/>
      <c r="G282" s="739"/>
    </row>
    <row r="283" spans="1:7" ht="20.25" customHeight="1">
      <c r="A283" s="12"/>
      <c r="B283" s="12"/>
      <c r="C283" s="219"/>
      <c r="D283" s="871"/>
      <c r="E283" s="672"/>
      <c r="F283" s="106"/>
      <c r="G283" s="739"/>
    </row>
    <row r="284" spans="1:7" ht="20.25" customHeight="1">
      <c r="A284" s="12"/>
      <c r="B284" s="12"/>
      <c r="C284" s="219"/>
      <c r="D284" s="871"/>
      <c r="E284" s="672"/>
      <c r="F284" s="106"/>
      <c r="G284" s="739"/>
    </row>
    <row r="285" spans="1:7" ht="20.25" customHeight="1">
      <c r="A285" s="12"/>
      <c r="B285" s="12"/>
      <c r="C285" s="219"/>
      <c r="D285" s="871"/>
      <c r="E285" s="672"/>
      <c r="F285" s="106"/>
      <c r="G285" s="739"/>
    </row>
    <row r="286" spans="1:7" ht="20.25" customHeight="1">
      <c r="A286" s="12"/>
      <c r="B286" s="12"/>
      <c r="C286" s="219"/>
      <c r="D286" s="871"/>
      <c r="E286" s="672"/>
      <c r="F286" s="106"/>
      <c r="G286" s="739"/>
    </row>
    <row r="287" spans="1:7" ht="20.25" customHeight="1">
      <c r="A287" s="12"/>
      <c r="B287" s="12"/>
      <c r="C287" s="219"/>
      <c r="D287" s="871"/>
      <c r="E287" s="672"/>
      <c r="F287" s="106"/>
      <c r="G287" s="739"/>
    </row>
    <row r="288" spans="1:7" ht="20.25" customHeight="1">
      <c r="A288" s="12"/>
      <c r="B288" s="12"/>
      <c r="C288" s="219"/>
      <c r="D288" s="871"/>
      <c r="E288" s="672"/>
      <c r="F288" s="106"/>
      <c r="G288" s="739"/>
    </row>
    <row r="289" spans="1:7" ht="20.25" customHeight="1">
      <c r="A289" s="12"/>
      <c r="B289" s="12"/>
      <c r="C289" s="219"/>
      <c r="D289" s="871"/>
      <c r="E289" s="672"/>
      <c r="F289" s="106"/>
      <c r="G289" s="739"/>
    </row>
    <row r="290" spans="1:7" ht="20.25" customHeight="1">
      <c r="A290" s="12"/>
      <c r="B290" s="12"/>
      <c r="C290" s="219"/>
      <c r="D290" s="871"/>
      <c r="E290" s="672"/>
      <c r="F290" s="106"/>
      <c r="G290" s="739"/>
    </row>
    <row r="291" spans="1:7" ht="20.25" customHeight="1">
      <c r="A291" s="12"/>
      <c r="B291" s="12"/>
      <c r="C291" s="219"/>
      <c r="D291" s="871"/>
      <c r="E291" s="672"/>
      <c r="F291" s="106"/>
      <c r="G291" s="739"/>
    </row>
    <row r="292" spans="1:7" ht="20.25" customHeight="1">
      <c r="A292" s="12"/>
      <c r="B292" s="12"/>
      <c r="C292" s="219"/>
      <c r="D292" s="871"/>
      <c r="E292" s="672"/>
      <c r="F292" s="106"/>
      <c r="G292" s="739"/>
    </row>
    <row r="293" spans="1:7" ht="20.25" customHeight="1">
      <c r="A293" s="12"/>
      <c r="B293" s="12"/>
      <c r="C293" s="219"/>
      <c r="D293" s="871"/>
      <c r="E293" s="672"/>
      <c r="F293" s="106"/>
      <c r="G293" s="739"/>
    </row>
    <row r="294" spans="1:7" ht="20.25" customHeight="1">
      <c r="A294" s="12"/>
      <c r="B294" s="12"/>
      <c r="C294" s="219"/>
      <c r="D294" s="871"/>
      <c r="E294" s="672"/>
      <c r="F294" s="106"/>
      <c r="G294" s="739"/>
    </row>
    <row r="295" spans="1:7" ht="20.25" customHeight="1">
      <c r="A295" s="12"/>
      <c r="B295" s="12"/>
      <c r="C295" s="219"/>
      <c r="D295" s="871"/>
      <c r="E295" s="672"/>
      <c r="F295" s="106"/>
      <c r="G295" s="739"/>
    </row>
    <row r="296" spans="1:7" ht="20.25" customHeight="1">
      <c r="A296" s="12"/>
      <c r="B296" s="12"/>
      <c r="C296" s="219"/>
      <c r="D296" s="871"/>
      <c r="E296" s="672"/>
      <c r="F296" s="106"/>
      <c r="G296" s="739"/>
    </row>
    <row r="297" spans="1:7" ht="20.25" customHeight="1">
      <c r="A297" s="12"/>
      <c r="B297" s="12"/>
      <c r="C297" s="219"/>
      <c r="D297" s="871"/>
      <c r="E297" s="672"/>
      <c r="F297" s="106"/>
      <c r="G297" s="739"/>
    </row>
    <row r="298" spans="1:7" ht="20.25" customHeight="1">
      <c r="A298" s="12"/>
      <c r="B298" s="12"/>
      <c r="C298" s="219"/>
      <c r="D298" s="871"/>
      <c r="E298" s="672"/>
      <c r="F298" s="106"/>
      <c r="G298" s="739"/>
    </row>
    <row r="299" spans="1:7" ht="20.25" customHeight="1">
      <c r="A299" s="12"/>
      <c r="B299" s="12"/>
      <c r="C299" s="219"/>
      <c r="D299" s="871"/>
      <c r="E299" s="672"/>
      <c r="F299" s="106"/>
      <c r="G299" s="739"/>
    </row>
    <row r="300" spans="1:7" ht="20.25" customHeight="1">
      <c r="A300" s="12"/>
      <c r="B300" s="12"/>
      <c r="C300" s="219"/>
      <c r="D300" s="871"/>
      <c r="E300" s="672"/>
      <c r="F300" s="106"/>
      <c r="G300" s="739"/>
    </row>
    <row r="301" spans="1:7" ht="20.25" customHeight="1">
      <c r="A301" s="12"/>
      <c r="B301" s="12"/>
      <c r="C301" s="219"/>
      <c r="D301" s="871"/>
      <c r="E301" s="672"/>
      <c r="F301" s="106"/>
      <c r="G301" s="739"/>
    </row>
    <row r="302" spans="1:7" ht="20.25" customHeight="1">
      <c r="A302" s="12"/>
      <c r="B302" s="12"/>
      <c r="C302" s="219"/>
      <c r="D302" s="871"/>
      <c r="E302" s="672"/>
      <c r="F302" s="106"/>
      <c r="G302" s="739"/>
    </row>
    <row r="303" spans="1:7" ht="20.25" customHeight="1">
      <c r="A303" s="12"/>
      <c r="B303" s="12"/>
      <c r="C303" s="219"/>
      <c r="D303" s="871"/>
      <c r="E303" s="672"/>
      <c r="F303" s="106"/>
      <c r="G303" s="739"/>
    </row>
    <row r="304" spans="1:7" ht="20.25" customHeight="1">
      <c r="A304" s="12"/>
      <c r="B304" s="12"/>
      <c r="C304" s="219"/>
      <c r="D304" s="871"/>
      <c r="E304" s="672"/>
      <c r="F304" s="106"/>
      <c r="G304" s="739"/>
    </row>
    <row r="305" spans="1:7" ht="20.25" customHeight="1">
      <c r="A305" s="12"/>
      <c r="B305" s="12"/>
      <c r="C305" s="219"/>
      <c r="D305" s="871"/>
      <c r="E305" s="672"/>
      <c r="F305" s="106"/>
      <c r="G305" s="739"/>
    </row>
    <row r="306" spans="1:7" ht="20.25" customHeight="1">
      <c r="A306" s="12"/>
      <c r="B306" s="12"/>
      <c r="C306" s="219"/>
      <c r="D306" s="871"/>
      <c r="E306" s="672"/>
      <c r="F306" s="106"/>
      <c r="G306" s="739"/>
    </row>
    <row r="307" spans="1:7" ht="20.25" customHeight="1">
      <c r="A307" s="12"/>
      <c r="B307" s="12"/>
      <c r="C307" s="219"/>
      <c r="D307" s="871"/>
      <c r="E307" s="672"/>
      <c r="F307" s="106"/>
      <c r="G307" s="739"/>
    </row>
    <row r="308" spans="1:7" ht="20.25" customHeight="1">
      <c r="A308" s="12"/>
      <c r="B308" s="12"/>
      <c r="C308" s="219"/>
      <c r="D308" s="871"/>
      <c r="E308" s="672"/>
      <c r="F308" s="106"/>
      <c r="G308" s="739"/>
    </row>
    <row r="309" spans="1:7" ht="20.25" customHeight="1">
      <c r="A309" s="12"/>
      <c r="B309" s="12"/>
      <c r="C309" s="219"/>
      <c r="D309" s="871"/>
      <c r="E309" s="672"/>
      <c r="F309" s="106"/>
      <c r="G309" s="739"/>
    </row>
    <row r="310" spans="1:7" ht="20.25" customHeight="1">
      <c r="A310" s="12"/>
      <c r="B310" s="12"/>
      <c r="C310" s="219"/>
      <c r="D310" s="871"/>
      <c r="E310" s="672"/>
      <c r="F310" s="106"/>
      <c r="G310" s="739"/>
    </row>
    <row r="311" spans="1:7" ht="20.25" customHeight="1">
      <c r="A311" s="12"/>
      <c r="B311" s="12"/>
      <c r="C311" s="219"/>
      <c r="D311" s="871"/>
      <c r="E311" s="672"/>
      <c r="F311" s="106"/>
      <c r="G311" s="739"/>
    </row>
    <row r="312" spans="1:7" ht="20.25" customHeight="1">
      <c r="A312" s="12"/>
      <c r="B312" s="12"/>
      <c r="C312" s="219"/>
      <c r="D312" s="871"/>
      <c r="E312" s="672"/>
      <c r="F312" s="106"/>
      <c r="G312" s="739"/>
    </row>
    <row r="313" spans="1:7" ht="20.25" customHeight="1">
      <c r="A313" s="12"/>
      <c r="B313" s="12"/>
      <c r="C313" s="219"/>
      <c r="D313" s="871"/>
      <c r="E313" s="672"/>
      <c r="F313" s="106"/>
      <c r="G313" s="739"/>
    </row>
    <row r="314" spans="1:7" ht="20.25" customHeight="1">
      <c r="A314" s="12"/>
      <c r="B314" s="12"/>
      <c r="C314" s="219"/>
      <c r="D314" s="871"/>
      <c r="E314" s="672"/>
      <c r="F314" s="106"/>
      <c r="G314" s="739"/>
    </row>
    <row r="315" spans="1:7" ht="20.25" customHeight="1">
      <c r="A315" s="12"/>
      <c r="B315" s="12"/>
      <c r="C315" s="219"/>
      <c r="D315" s="871"/>
      <c r="E315" s="672"/>
      <c r="F315" s="106"/>
      <c r="G315" s="739"/>
    </row>
    <row r="316" spans="1:7" ht="20.25" customHeight="1">
      <c r="A316" s="12"/>
      <c r="B316" s="12"/>
      <c r="C316" s="219"/>
      <c r="D316" s="871"/>
      <c r="E316" s="672"/>
      <c r="F316" s="106"/>
      <c r="G316" s="739"/>
    </row>
    <row r="317" spans="1:7" ht="20.25" customHeight="1">
      <c r="A317" s="12"/>
      <c r="B317" s="12"/>
      <c r="C317" s="219"/>
      <c r="D317" s="871"/>
      <c r="E317" s="672"/>
      <c r="F317" s="106"/>
      <c r="G317" s="739"/>
    </row>
    <row r="318" spans="1:7" ht="20.25" customHeight="1">
      <c r="A318" s="12"/>
      <c r="B318" s="12"/>
      <c r="C318" s="219"/>
      <c r="D318" s="871"/>
      <c r="E318" s="672"/>
      <c r="F318" s="106"/>
      <c r="G318" s="739"/>
    </row>
    <row r="319" spans="1:7" ht="20.25" customHeight="1">
      <c r="A319" s="12"/>
      <c r="B319" s="12"/>
      <c r="C319" s="219"/>
      <c r="D319" s="871"/>
      <c r="E319" s="672"/>
      <c r="F319" s="106"/>
      <c r="G319" s="739"/>
    </row>
    <row r="320" spans="1:7" ht="20.25" customHeight="1">
      <c r="A320" s="12"/>
      <c r="B320" s="12"/>
      <c r="C320" s="219"/>
      <c r="D320" s="871"/>
      <c r="E320" s="672"/>
      <c r="F320" s="106"/>
      <c r="G320" s="739"/>
    </row>
    <row r="321" spans="1:7" ht="20.25" customHeight="1">
      <c r="A321" s="12"/>
      <c r="B321" s="12"/>
      <c r="C321" s="219"/>
      <c r="D321" s="871"/>
      <c r="E321" s="672"/>
      <c r="F321" s="106"/>
      <c r="G321" s="739"/>
    </row>
    <row r="322" spans="1:7" ht="20.25" customHeight="1">
      <c r="A322" s="12"/>
      <c r="B322" s="12"/>
      <c r="C322" s="219"/>
      <c r="D322" s="871"/>
      <c r="E322" s="672"/>
      <c r="F322" s="106"/>
      <c r="G322" s="739"/>
    </row>
    <row r="323" spans="1:7" ht="20.25" customHeight="1">
      <c r="A323" s="12"/>
      <c r="B323" s="12"/>
      <c r="C323" s="219"/>
      <c r="D323" s="871"/>
      <c r="E323" s="672"/>
      <c r="F323" s="106"/>
      <c r="G323" s="739"/>
    </row>
    <row r="324" spans="1:7" ht="20.25" customHeight="1">
      <c r="A324" s="12"/>
      <c r="B324" s="12"/>
      <c r="C324" s="219"/>
      <c r="D324" s="871"/>
      <c r="E324" s="672"/>
      <c r="F324" s="106"/>
      <c r="G324" s="739"/>
    </row>
    <row r="325" spans="1:7" ht="20.25" customHeight="1">
      <c r="A325" s="12"/>
      <c r="B325" s="12"/>
      <c r="C325" s="219"/>
      <c r="D325" s="871"/>
      <c r="E325" s="672"/>
      <c r="F325" s="106"/>
      <c r="G325" s="739"/>
    </row>
    <row r="326" spans="1:7" ht="20.25" customHeight="1">
      <c r="A326" s="12"/>
      <c r="B326" s="12"/>
      <c r="C326" s="219"/>
      <c r="D326" s="871"/>
      <c r="E326" s="672"/>
      <c r="F326" s="106"/>
      <c r="G326" s="739"/>
    </row>
    <row r="327" spans="1:7" ht="20.25" customHeight="1">
      <c r="A327" s="12"/>
      <c r="B327" s="12"/>
      <c r="C327" s="219"/>
      <c r="D327" s="871"/>
      <c r="E327" s="672"/>
      <c r="F327" s="106"/>
      <c r="G327" s="739"/>
    </row>
    <row r="328" spans="1:7" ht="20.25" customHeight="1">
      <c r="A328" s="12"/>
      <c r="B328" s="12"/>
      <c r="C328" s="219"/>
      <c r="D328" s="871"/>
      <c r="E328" s="672"/>
      <c r="F328" s="106"/>
      <c r="G328" s="739"/>
    </row>
    <row r="329" spans="1:7" ht="20.25" customHeight="1">
      <c r="A329" s="12"/>
      <c r="B329" s="12"/>
      <c r="C329" s="219"/>
      <c r="D329" s="871"/>
      <c r="E329" s="672"/>
      <c r="F329" s="106"/>
      <c r="G329" s="739"/>
    </row>
    <row r="330" spans="1:7" ht="20.25" customHeight="1">
      <c r="A330" s="12"/>
      <c r="B330" s="12"/>
      <c r="C330" s="219"/>
      <c r="D330" s="871"/>
      <c r="E330" s="672"/>
      <c r="F330" s="106"/>
      <c r="G330" s="739"/>
    </row>
    <row r="331" spans="1:7" ht="20.25" customHeight="1">
      <c r="A331" s="12"/>
      <c r="B331" s="12"/>
      <c r="C331" s="219"/>
      <c r="D331" s="871"/>
      <c r="E331" s="672"/>
      <c r="F331" s="106"/>
      <c r="G331" s="739"/>
    </row>
    <row r="332" spans="1:7" ht="20.25" customHeight="1">
      <c r="A332" s="12"/>
      <c r="B332" s="12"/>
      <c r="C332" s="219"/>
      <c r="D332" s="871"/>
      <c r="E332" s="672"/>
      <c r="F332" s="106"/>
      <c r="G332" s="739"/>
    </row>
    <row r="333" spans="1:7" ht="20.25" customHeight="1">
      <c r="A333" s="12"/>
      <c r="B333" s="12"/>
      <c r="C333" s="219"/>
      <c r="D333" s="871"/>
      <c r="E333" s="672"/>
      <c r="F333" s="106"/>
      <c r="G333" s="739"/>
    </row>
    <row r="334" spans="1:7" ht="20.25" customHeight="1">
      <c r="A334" s="12"/>
      <c r="B334" s="12"/>
      <c r="C334" s="219"/>
      <c r="D334" s="871"/>
      <c r="E334" s="672"/>
      <c r="F334" s="106"/>
      <c r="G334" s="739"/>
    </row>
    <row r="335" spans="1:7" ht="20.25" customHeight="1">
      <c r="A335" s="12"/>
      <c r="B335" s="12"/>
      <c r="C335" s="219"/>
      <c r="D335" s="871"/>
      <c r="E335" s="672"/>
      <c r="F335" s="106"/>
      <c r="G335" s="739"/>
    </row>
    <row r="336" spans="1:7" ht="20.25" customHeight="1">
      <c r="A336" s="12"/>
      <c r="B336" s="12"/>
      <c r="C336" s="219"/>
      <c r="D336" s="871"/>
      <c r="E336" s="672"/>
      <c r="F336" s="106"/>
      <c r="G336" s="739"/>
    </row>
    <row r="337" spans="1:7" ht="20.25" customHeight="1">
      <c r="A337" s="12"/>
      <c r="B337" s="12"/>
      <c r="C337" s="219"/>
      <c r="D337" s="871"/>
      <c r="E337" s="672"/>
      <c r="F337" s="106"/>
      <c r="G337" s="739"/>
    </row>
    <row r="338" spans="1:7" ht="20.25" customHeight="1">
      <c r="A338" s="12"/>
      <c r="B338" s="12"/>
      <c r="C338" s="219"/>
      <c r="D338" s="871"/>
      <c r="E338" s="672"/>
      <c r="F338" s="106"/>
      <c r="G338" s="739"/>
    </row>
    <row r="339" spans="1:7" ht="20.25" customHeight="1">
      <c r="A339" s="12"/>
      <c r="B339" s="12"/>
      <c r="C339" s="219"/>
      <c r="D339" s="871"/>
      <c r="E339" s="672"/>
      <c r="F339" s="106"/>
      <c r="G339" s="739"/>
    </row>
    <row r="340" spans="1:7" ht="20.25" customHeight="1">
      <c r="A340" s="12"/>
      <c r="B340" s="12"/>
      <c r="C340" s="219"/>
      <c r="D340" s="871"/>
      <c r="E340" s="672"/>
      <c r="F340" s="106"/>
      <c r="G340" s="739"/>
    </row>
    <row r="341" spans="1:7" ht="20.25" customHeight="1">
      <c r="A341" s="12"/>
      <c r="B341" s="12"/>
      <c r="C341" s="219"/>
      <c r="D341" s="871"/>
      <c r="E341" s="672"/>
      <c r="F341" s="106"/>
      <c r="G341" s="739"/>
    </row>
    <row r="342" spans="1:7" ht="20.25" customHeight="1">
      <c r="A342" s="12"/>
      <c r="B342" s="12"/>
      <c r="C342" s="219"/>
      <c r="D342" s="871"/>
      <c r="E342" s="672"/>
      <c r="F342" s="106"/>
      <c r="G342" s="739"/>
    </row>
    <row r="343" spans="1:7" ht="20.25" customHeight="1">
      <c r="A343" s="12"/>
      <c r="B343" s="12"/>
      <c r="C343" s="219"/>
      <c r="D343" s="871"/>
      <c r="E343" s="672"/>
      <c r="F343" s="106"/>
      <c r="G343" s="739"/>
    </row>
    <row r="344" spans="1:7" ht="20.25" customHeight="1">
      <c r="A344" s="12"/>
      <c r="B344" s="12"/>
      <c r="C344" s="219"/>
      <c r="D344" s="871"/>
      <c r="E344" s="672"/>
      <c r="F344" s="106"/>
      <c r="G344" s="739"/>
    </row>
    <row r="345" spans="1:7" ht="20.25" customHeight="1">
      <c r="A345" s="12"/>
      <c r="B345" s="12"/>
      <c r="C345" s="219"/>
      <c r="D345" s="871"/>
      <c r="E345" s="672"/>
      <c r="F345" s="106"/>
      <c r="G345" s="739"/>
    </row>
    <row r="346" spans="1:7" ht="20.25" customHeight="1">
      <c r="A346" s="12"/>
      <c r="B346" s="12"/>
      <c r="C346" s="219"/>
      <c r="D346" s="871"/>
      <c r="E346" s="672"/>
      <c r="F346" s="106"/>
      <c r="G346" s="739"/>
    </row>
    <row r="347" spans="1:7" ht="20.25" customHeight="1">
      <c r="A347" s="12"/>
      <c r="B347" s="12"/>
      <c r="C347" s="219"/>
      <c r="D347" s="871"/>
      <c r="E347" s="672"/>
      <c r="F347" s="106"/>
      <c r="G347" s="739"/>
    </row>
    <row r="348" spans="1:7" ht="20.25" customHeight="1">
      <c r="A348" s="12"/>
      <c r="B348" s="12"/>
      <c r="C348" s="219"/>
      <c r="D348" s="871"/>
      <c r="E348" s="672"/>
      <c r="F348" s="106"/>
      <c r="G348" s="739"/>
    </row>
    <row r="349" spans="1:7" ht="20.25" customHeight="1">
      <c r="A349" s="12"/>
      <c r="B349" s="12"/>
      <c r="C349" s="219"/>
      <c r="D349" s="871"/>
      <c r="E349" s="672"/>
      <c r="F349" s="106"/>
      <c r="G349" s="739"/>
    </row>
    <row r="350" spans="1:7" ht="20.25" customHeight="1">
      <c r="A350" s="12"/>
      <c r="B350" s="12"/>
      <c r="C350" s="219"/>
      <c r="D350" s="871"/>
      <c r="E350" s="672"/>
      <c r="F350" s="106"/>
      <c r="G350" s="739"/>
    </row>
    <row r="351" spans="1:7" ht="20.25" customHeight="1">
      <c r="A351" s="12"/>
      <c r="B351" s="12"/>
      <c r="C351" s="219"/>
      <c r="D351" s="871"/>
      <c r="E351" s="672"/>
      <c r="F351" s="106"/>
      <c r="G351" s="739"/>
    </row>
    <row r="352" spans="1:7" ht="20.25" customHeight="1">
      <c r="A352" s="12"/>
      <c r="B352" s="12"/>
      <c r="C352" s="219"/>
      <c r="D352" s="871"/>
      <c r="E352" s="672"/>
      <c r="F352" s="106"/>
      <c r="G352" s="739"/>
    </row>
    <row r="353" spans="1:7" ht="20.25" customHeight="1">
      <c r="A353" s="12"/>
      <c r="B353" s="12"/>
      <c r="C353" s="219"/>
      <c r="D353" s="871"/>
      <c r="E353" s="672"/>
      <c r="F353" s="106"/>
      <c r="G353" s="739"/>
    </row>
    <row r="354" spans="1:7" ht="20.25" customHeight="1">
      <c r="A354" s="12"/>
      <c r="B354" s="12"/>
      <c r="C354" s="219"/>
      <c r="D354" s="871"/>
      <c r="E354" s="672"/>
      <c r="F354" s="106"/>
      <c r="G354" s="739"/>
    </row>
    <row r="355" spans="1:7" ht="20.25" customHeight="1">
      <c r="A355" s="12"/>
      <c r="B355" s="12"/>
      <c r="C355" s="219"/>
      <c r="D355" s="871"/>
      <c r="E355" s="672"/>
      <c r="F355" s="106"/>
      <c r="G355" s="739"/>
    </row>
    <row r="356" spans="1:7" ht="20.25" customHeight="1">
      <c r="A356" s="12"/>
      <c r="B356" s="12"/>
      <c r="C356" s="219"/>
      <c r="D356" s="871"/>
      <c r="E356" s="672"/>
      <c r="F356" s="106"/>
      <c r="G356" s="739"/>
    </row>
    <row r="357" spans="1:7" ht="20.25" customHeight="1">
      <c r="A357" s="12"/>
      <c r="B357" s="12"/>
      <c r="C357" s="219"/>
      <c r="D357" s="871"/>
      <c r="E357" s="672"/>
      <c r="F357" s="106"/>
      <c r="G357" s="739"/>
    </row>
    <row r="358" spans="1:7" ht="20.25" customHeight="1">
      <c r="A358" s="12"/>
      <c r="B358" s="12"/>
      <c r="C358" s="219"/>
      <c r="D358" s="871"/>
      <c r="E358" s="672"/>
      <c r="F358" s="106"/>
      <c r="G358" s="739"/>
    </row>
    <row r="359" spans="1:7" ht="20.25" customHeight="1">
      <c r="A359" s="12"/>
      <c r="B359" s="12"/>
      <c r="C359" s="219"/>
      <c r="D359" s="871"/>
      <c r="E359" s="672"/>
      <c r="F359" s="106"/>
      <c r="G359" s="739"/>
    </row>
    <row r="360" spans="1:7" ht="20.25" customHeight="1">
      <c r="A360" s="12"/>
      <c r="B360" s="12"/>
      <c r="C360" s="219"/>
      <c r="D360" s="871"/>
      <c r="E360" s="672"/>
      <c r="F360" s="106"/>
      <c r="G360" s="739"/>
    </row>
    <row r="361" spans="1:7" ht="20.25" customHeight="1">
      <c r="A361" s="12"/>
      <c r="B361" s="12"/>
      <c r="C361" s="219"/>
      <c r="D361" s="871"/>
      <c r="E361" s="672"/>
      <c r="F361" s="106"/>
      <c r="G361" s="739"/>
    </row>
    <row r="362" spans="1:7" ht="20.25" customHeight="1">
      <c r="A362" s="12"/>
      <c r="B362" s="12"/>
      <c r="C362" s="219"/>
      <c r="D362" s="871"/>
      <c r="E362" s="672"/>
      <c r="F362" s="106"/>
      <c r="G362" s="739"/>
    </row>
    <row r="363" spans="1:7" ht="20.25" customHeight="1">
      <c r="A363" s="12"/>
      <c r="B363" s="12"/>
      <c r="C363" s="219"/>
      <c r="D363" s="871"/>
      <c r="E363" s="672"/>
      <c r="F363" s="106"/>
      <c r="G363" s="739"/>
    </row>
    <row r="364" spans="1:7" ht="20.25" customHeight="1">
      <c r="A364" s="12"/>
      <c r="B364" s="12"/>
      <c r="C364" s="219"/>
      <c r="D364" s="871"/>
      <c r="E364" s="672"/>
      <c r="F364" s="106"/>
      <c r="G364" s="739"/>
    </row>
    <row r="365" spans="1:7" ht="20.25" customHeight="1">
      <c r="A365" s="12"/>
      <c r="B365" s="12"/>
      <c r="C365" s="219"/>
      <c r="D365" s="871"/>
      <c r="E365" s="672"/>
      <c r="F365" s="106"/>
      <c r="G365" s="739"/>
    </row>
    <row r="366" spans="1:7" ht="20.25" customHeight="1">
      <c r="A366" s="12"/>
      <c r="B366" s="12"/>
      <c r="C366" s="219"/>
      <c r="D366" s="871"/>
      <c r="E366" s="672"/>
      <c r="F366" s="106"/>
      <c r="G366" s="739"/>
    </row>
    <row r="367" spans="1:7" ht="20.25" customHeight="1">
      <c r="A367" s="12"/>
      <c r="B367" s="12"/>
      <c r="C367" s="219"/>
      <c r="D367" s="871"/>
      <c r="E367" s="672"/>
      <c r="F367" s="106"/>
      <c r="G367" s="739"/>
    </row>
    <row r="368" spans="1:7" ht="20.25" customHeight="1">
      <c r="A368" s="12"/>
      <c r="B368" s="12"/>
      <c r="C368" s="219"/>
      <c r="D368" s="871"/>
      <c r="E368" s="672"/>
      <c r="F368" s="106"/>
      <c r="G368" s="739"/>
    </row>
    <row r="369" spans="1:7" ht="20.25" customHeight="1">
      <c r="A369" s="12"/>
      <c r="B369" s="12"/>
      <c r="C369" s="219"/>
      <c r="D369" s="871"/>
      <c r="E369" s="672"/>
      <c r="F369" s="106"/>
      <c r="G369" s="739"/>
    </row>
    <row r="370" spans="1:7" ht="20.25" customHeight="1">
      <c r="A370" s="12"/>
      <c r="B370" s="12"/>
      <c r="C370" s="219"/>
      <c r="D370" s="871"/>
      <c r="E370" s="672"/>
      <c r="F370" s="106"/>
      <c r="G370" s="739"/>
    </row>
    <row r="371" spans="1:7" ht="20.25" customHeight="1">
      <c r="A371" s="12"/>
      <c r="B371" s="12"/>
      <c r="C371" s="219"/>
      <c r="D371" s="871"/>
      <c r="E371" s="672"/>
      <c r="F371" s="106"/>
      <c r="G371" s="739"/>
    </row>
    <row r="372" spans="1:7" ht="20.25" customHeight="1">
      <c r="A372" s="12"/>
      <c r="B372" s="12"/>
      <c r="C372" s="219"/>
      <c r="D372" s="871"/>
      <c r="E372" s="672"/>
      <c r="F372" s="106"/>
      <c r="G372" s="739"/>
    </row>
    <row r="373" spans="1:7" ht="20.25" customHeight="1">
      <c r="A373" s="12"/>
      <c r="B373" s="12"/>
      <c r="C373" s="219"/>
      <c r="D373" s="871"/>
      <c r="E373" s="672"/>
      <c r="F373" s="106"/>
      <c r="G373" s="739"/>
    </row>
    <row r="374" spans="1:7" ht="20.25" customHeight="1">
      <c r="A374" s="12"/>
      <c r="B374" s="12"/>
      <c r="C374" s="219"/>
      <c r="D374" s="871"/>
      <c r="E374" s="672"/>
      <c r="F374" s="106"/>
      <c r="G374" s="739"/>
    </row>
    <row r="375" spans="1:7" ht="20.25" customHeight="1">
      <c r="A375" s="12"/>
      <c r="B375" s="12"/>
      <c r="C375" s="219"/>
      <c r="D375" s="871"/>
      <c r="E375" s="672"/>
      <c r="F375" s="106"/>
      <c r="G375" s="739"/>
    </row>
    <row r="376" spans="1:7" ht="20.25" customHeight="1">
      <c r="A376" s="12"/>
      <c r="B376" s="12"/>
      <c r="C376" s="219"/>
      <c r="D376" s="871"/>
      <c r="E376" s="672"/>
      <c r="F376" s="106"/>
      <c r="G376" s="739"/>
    </row>
    <row r="377" spans="1:7" ht="20.25" customHeight="1">
      <c r="A377" s="12"/>
      <c r="B377" s="12"/>
      <c r="C377" s="219"/>
      <c r="D377" s="871"/>
      <c r="E377" s="672"/>
      <c r="F377" s="106"/>
      <c r="G377" s="739"/>
    </row>
    <row r="378" spans="1:7" ht="20.25" customHeight="1">
      <c r="A378" s="12"/>
      <c r="B378" s="12"/>
      <c r="C378" s="219"/>
      <c r="D378" s="871"/>
      <c r="E378" s="672"/>
      <c r="F378" s="106"/>
      <c r="G378" s="739"/>
    </row>
    <row r="379" spans="1:7" ht="20.25" customHeight="1">
      <c r="A379" s="12"/>
      <c r="B379" s="12"/>
      <c r="C379" s="219"/>
      <c r="D379" s="871"/>
      <c r="E379" s="672"/>
      <c r="F379" s="106"/>
      <c r="G379" s="739"/>
    </row>
    <row r="380" spans="1:7" ht="20.25" customHeight="1">
      <c r="A380" s="12"/>
      <c r="B380" s="12"/>
      <c r="C380" s="219"/>
      <c r="D380" s="871"/>
      <c r="E380" s="672"/>
      <c r="F380" s="106"/>
      <c r="G380" s="739"/>
    </row>
    <row r="381" spans="1:7" ht="20.25" customHeight="1">
      <c r="A381" s="12"/>
      <c r="B381" s="12"/>
      <c r="C381" s="219"/>
      <c r="D381" s="871"/>
      <c r="E381" s="672"/>
      <c r="F381" s="106"/>
      <c r="G381" s="739"/>
    </row>
    <row r="382" spans="1:7" ht="20.25" customHeight="1">
      <c r="A382" s="12"/>
      <c r="B382" s="12"/>
      <c r="C382" s="219"/>
      <c r="D382" s="871"/>
      <c r="E382" s="672"/>
      <c r="F382" s="106"/>
      <c r="G382" s="739"/>
    </row>
    <row r="383" spans="1:7" ht="20.25" customHeight="1">
      <c r="A383" s="12"/>
      <c r="B383" s="12"/>
      <c r="C383" s="219"/>
      <c r="D383" s="871"/>
      <c r="E383" s="672"/>
      <c r="F383" s="106"/>
      <c r="G383" s="739"/>
    </row>
    <row r="384" spans="1:7" ht="20.25" customHeight="1">
      <c r="A384" s="12"/>
      <c r="B384" s="12"/>
      <c r="C384" s="219"/>
      <c r="D384" s="871"/>
      <c r="E384" s="672"/>
      <c r="F384" s="106"/>
      <c r="G384" s="739"/>
    </row>
    <row r="385" spans="1:7" ht="20.25" customHeight="1">
      <c r="A385" s="12"/>
      <c r="B385" s="12"/>
      <c r="C385" s="219"/>
      <c r="D385" s="871"/>
      <c r="E385" s="672"/>
      <c r="F385" s="106"/>
      <c r="G385" s="739"/>
    </row>
    <row r="386" spans="1:7" ht="20.25" customHeight="1">
      <c r="A386" s="12"/>
      <c r="B386" s="12"/>
      <c r="C386" s="219"/>
      <c r="D386" s="871"/>
      <c r="E386" s="672"/>
      <c r="F386" s="106"/>
      <c r="G386" s="739"/>
    </row>
    <row r="387" spans="1:7" ht="20.25" customHeight="1">
      <c r="A387" s="12"/>
      <c r="B387" s="12"/>
      <c r="C387" s="219"/>
      <c r="D387" s="871"/>
      <c r="E387" s="672"/>
      <c r="F387" s="106"/>
      <c r="G387" s="739"/>
    </row>
    <row r="388" spans="1:7" ht="20.25" customHeight="1">
      <c r="A388" s="12"/>
      <c r="B388" s="12"/>
      <c r="C388" s="219"/>
      <c r="D388" s="871"/>
      <c r="E388" s="672"/>
      <c r="F388" s="106"/>
      <c r="G388" s="739"/>
    </row>
    <row r="389" spans="1:7" ht="20.25" customHeight="1">
      <c r="A389" s="12"/>
      <c r="B389" s="12"/>
      <c r="C389" s="219"/>
      <c r="D389" s="871"/>
      <c r="E389" s="672"/>
      <c r="F389" s="106"/>
      <c r="G389" s="739"/>
    </row>
    <row r="390" spans="1:7" ht="20.25" customHeight="1">
      <c r="A390" s="12"/>
      <c r="B390" s="12"/>
      <c r="C390" s="219"/>
      <c r="D390" s="871"/>
      <c r="E390" s="672"/>
      <c r="F390" s="106"/>
      <c r="G390" s="739"/>
    </row>
    <row r="391" spans="1:7" ht="20.25" customHeight="1">
      <c r="A391" s="12"/>
      <c r="B391" s="12"/>
      <c r="C391" s="219"/>
      <c r="D391" s="871"/>
      <c r="E391" s="672"/>
      <c r="F391" s="106"/>
      <c r="G391" s="739"/>
    </row>
    <row r="392" spans="1:7" ht="20.25" customHeight="1">
      <c r="A392" s="12"/>
      <c r="B392" s="12"/>
      <c r="C392" s="219"/>
      <c r="D392" s="871"/>
      <c r="E392" s="672"/>
      <c r="F392" s="106"/>
      <c r="G392" s="739"/>
    </row>
    <row r="393" spans="1:7" ht="20.25" customHeight="1">
      <c r="A393" s="12"/>
      <c r="B393" s="12"/>
      <c r="C393" s="219"/>
      <c r="D393" s="871"/>
      <c r="E393" s="672"/>
      <c r="F393" s="106"/>
      <c r="G393" s="739"/>
    </row>
    <row r="394" spans="1:7" ht="20.25" customHeight="1">
      <c r="A394" s="12"/>
      <c r="B394" s="12"/>
      <c r="C394" s="219"/>
      <c r="D394" s="871"/>
      <c r="E394" s="672"/>
      <c r="F394" s="106"/>
      <c r="G394" s="739"/>
    </row>
    <row r="395" spans="1:7" ht="20.25" customHeight="1">
      <c r="A395" s="12"/>
      <c r="B395" s="12"/>
      <c r="C395" s="219"/>
      <c r="D395" s="871"/>
      <c r="E395" s="672"/>
      <c r="F395" s="106"/>
      <c r="G395" s="739"/>
    </row>
    <row r="396" spans="1:7" ht="20.25" customHeight="1">
      <c r="A396" s="12"/>
      <c r="B396" s="12"/>
      <c r="C396" s="219"/>
      <c r="D396" s="871"/>
      <c r="E396" s="672"/>
      <c r="F396" s="106"/>
      <c r="G396" s="739"/>
    </row>
    <row r="397" spans="1:7" ht="20.25" customHeight="1">
      <c r="A397" s="12"/>
      <c r="B397" s="12"/>
      <c r="C397" s="219"/>
      <c r="D397" s="871"/>
      <c r="E397" s="672"/>
      <c r="F397" s="106"/>
      <c r="G397" s="739"/>
    </row>
    <row r="398" spans="1:7" ht="20.25" customHeight="1">
      <c r="A398" s="12"/>
      <c r="B398" s="12"/>
      <c r="C398" s="219"/>
      <c r="D398" s="871"/>
      <c r="E398" s="672"/>
      <c r="F398" s="106"/>
      <c r="G398" s="739"/>
    </row>
    <row r="399" spans="1:7" ht="20.25" customHeight="1">
      <c r="A399" s="12"/>
      <c r="B399" s="12"/>
      <c r="C399" s="219"/>
      <c r="D399" s="871"/>
      <c r="E399" s="672"/>
      <c r="F399" s="106"/>
      <c r="G399" s="739"/>
    </row>
    <row r="400" spans="1:7" ht="20.25" customHeight="1">
      <c r="A400" s="12"/>
      <c r="B400" s="12"/>
      <c r="C400" s="219"/>
      <c r="D400" s="871"/>
      <c r="E400" s="672"/>
      <c r="F400" s="106"/>
      <c r="G400" s="739"/>
    </row>
    <row r="401" spans="1:7" ht="20.25" customHeight="1">
      <c r="A401" s="12"/>
      <c r="B401" s="12"/>
      <c r="C401" s="219"/>
      <c r="D401" s="871"/>
      <c r="E401" s="672"/>
      <c r="F401" s="106"/>
      <c r="G401" s="739"/>
    </row>
    <row r="402" spans="1:7" ht="20.25" customHeight="1">
      <c r="A402" s="12"/>
      <c r="B402" s="12"/>
      <c r="C402" s="219"/>
      <c r="D402" s="871"/>
      <c r="E402" s="672"/>
      <c r="F402" s="106"/>
      <c r="G402" s="739"/>
    </row>
    <row r="403" spans="1:7" ht="20.25" customHeight="1">
      <c r="A403" s="12"/>
      <c r="B403" s="12"/>
      <c r="C403" s="219"/>
      <c r="D403" s="871"/>
      <c r="E403" s="672"/>
      <c r="F403" s="106"/>
      <c r="G403" s="739"/>
    </row>
    <row r="404" spans="1:7" ht="20.25" customHeight="1">
      <c r="A404" s="12"/>
      <c r="B404" s="12"/>
      <c r="C404" s="219"/>
      <c r="D404" s="871"/>
      <c r="E404" s="672"/>
      <c r="F404" s="106"/>
      <c r="G404" s="739"/>
    </row>
    <row r="405" spans="1:7" ht="20.25" customHeight="1">
      <c r="A405" s="12"/>
      <c r="B405" s="12"/>
      <c r="C405" s="219"/>
      <c r="D405" s="871"/>
      <c r="E405" s="672"/>
      <c r="F405" s="106"/>
      <c r="G405" s="739"/>
    </row>
    <row r="406" spans="1:7" ht="20.25" customHeight="1">
      <c r="A406" s="12"/>
      <c r="B406" s="12"/>
      <c r="C406" s="219"/>
      <c r="D406" s="871"/>
      <c r="E406" s="672"/>
      <c r="F406" s="106"/>
      <c r="G406" s="739"/>
    </row>
    <row r="407" spans="1:7" ht="20.25" customHeight="1">
      <c r="A407" s="12"/>
      <c r="B407" s="12"/>
      <c r="C407" s="219"/>
      <c r="D407" s="871"/>
      <c r="E407" s="672"/>
      <c r="F407" s="106"/>
      <c r="G407" s="739"/>
    </row>
    <row r="408" spans="1:7" ht="20.25" customHeight="1">
      <c r="A408" s="12"/>
      <c r="B408" s="12"/>
      <c r="C408" s="219"/>
      <c r="D408" s="871"/>
      <c r="E408" s="672"/>
      <c r="F408" s="106"/>
      <c r="G408" s="739"/>
    </row>
    <row r="409" spans="1:7" ht="20.25" customHeight="1">
      <c r="A409" s="12"/>
      <c r="B409" s="12"/>
      <c r="C409" s="219"/>
      <c r="D409" s="871"/>
      <c r="E409" s="672"/>
      <c r="F409" s="106"/>
      <c r="G409" s="739"/>
    </row>
    <row r="410" spans="1:7" ht="20.25" customHeight="1">
      <c r="A410" s="12"/>
      <c r="B410" s="12"/>
      <c r="C410" s="219"/>
      <c r="D410" s="871"/>
      <c r="E410" s="672"/>
      <c r="F410" s="106"/>
      <c r="G410" s="739"/>
    </row>
    <row r="411" spans="1:7" ht="20.25" customHeight="1">
      <c r="A411" s="12"/>
      <c r="B411" s="12"/>
      <c r="C411" s="219"/>
      <c r="D411" s="871"/>
      <c r="E411" s="672"/>
      <c r="F411" s="106"/>
      <c r="G411" s="739"/>
    </row>
    <row r="412" spans="1:7" ht="20.25" customHeight="1">
      <c r="A412" s="12"/>
      <c r="B412" s="12"/>
      <c r="C412" s="219"/>
      <c r="D412" s="871"/>
      <c r="E412" s="672"/>
      <c r="F412" s="106"/>
      <c r="G412" s="739"/>
    </row>
    <row r="413" spans="1:7" ht="20.25" customHeight="1">
      <c r="A413" s="12"/>
      <c r="B413" s="12"/>
      <c r="C413" s="219"/>
      <c r="D413" s="871"/>
      <c r="E413" s="672"/>
      <c r="F413" s="106"/>
      <c r="G413" s="739"/>
    </row>
    <row r="414" spans="1:7" ht="20.25" customHeight="1">
      <c r="A414" s="12"/>
      <c r="B414" s="12"/>
      <c r="C414" s="219"/>
      <c r="D414" s="871"/>
      <c r="E414" s="672"/>
      <c r="F414" s="106"/>
      <c r="G414" s="739"/>
    </row>
    <row r="415" spans="5:7" ht="20.25" customHeight="1">
      <c r="E415" s="672"/>
      <c r="F415" s="106"/>
      <c r="G415" s="739"/>
    </row>
    <row r="416" spans="5:7" ht="20.25" customHeight="1">
      <c r="E416" s="672"/>
      <c r="F416" s="106"/>
      <c r="G416" s="739"/>
    </row>
    <row r="417" spans="5:7" ht="20.25" customHeight="1">
      <c r="E417" s="672"/>
      <c r="F417" s="106"/>
      <c r="G417" s="739"/>
    </row>
    <row r="418" spans="5:7" ht="20.25" customHeight="1">
      <c r="E418" s="672"/>
      <c r="F418" s="106"/>
      <c r="G418" s="739"/>
    </row>
    <row r="419" spans="5:7" ht="20.25" customHeight="1">
      <c r="E419" s="672"/>
      <c r="F419" s="106"/>
      <c r="G419" s="739"/>
    </row>
    <row r="420" spans="5:7" ht="20.25" customHeight="1">
      <c r="E420" s="672"/>
      <c r="F420" s="106"/>
      <c r="G420" s="739"/>
    </row>
    <row r="421" spans="5:7" ht="20.25" customHeight="1">
      <c r="E421" s="672"/>
      <c r="F421" s="106"/>
      <c r="G421" s="739"/>
    </row>
    <row r="422" spans="5:7" ht="20.25" customHeight="1">
      <c r="E422" s="672"/>
      <c r="F422" s="106"/>
      <c r="G422" s="739"/>
    </row>
    <row r="423" spans="5:7" ht="20.25" customHeight="1">
      <c r="E423" s="672"/>
      <c r="F423" s="106"/>
      <c r="G423" s="739"/>
    </row>
    <row r="424" spans="5:7" ht="20.25" customHeight="1">
      <c r="E424" s="672"/>
      <c r="F424" s="106"/>
      <c r="G424" s="739"/>
    </row>
    <row r="425" spans="5:7" ht="20.25" customHeight="1">
      <c r="E425" s="672"/>
      <c r="F425" s="106"/>
      <c r="G425" s="739"/>
    </row>
    <row r="426" spans="5:7" ht="20.25" customHeight="1">
      <c r="E426" s="672"/>
      <c r="F426" s="106"/>
      <c r="G426" s="739"/>
    </row>
    <row r="427" spans="5:7" ht="20.25" customHeight="1">
      <c r="E427" s="672"/>
      <c r="F427" s="106"/>
      <c r="G427" s="739"/>
    </row>
    <row r="428" spans="5:7" ht="20.25" customHeight="1">
      <c r="E428" s="672"/>
      <c r="F428" s="106"/>
      <c r="G428" s="739"/>
    </row>
    <row r="429" spans="5:7" ht="20.25" customHeight="1">
      <c r="E429" s="672"/>
      <c r="F429" s="106"/>
      <c r="G429" s="739"/>
    </row>
    <row r="430" spans="5:7" ht="20.25" customHeight="1">
      <c r="E430" s="672"/>
      <c r="F430" s="106"/>
      <c r="G430" s="739"/>
    </row>
    <row r="431" spans="5:7" ht="20.25" customHeight="1">
      <c r="E431" s="672"/>
      <c r="F431" s="106"/>
      <c r="G431" s="739"/>
    </row>
    <row r="432" spans="5:7" ht="20.25" customHeight="1">
      <c r="E432" s="672"/>
      <c r="F432" s="106"/>
      <c r="G432" s="739"/>
    </row>
    <row r="433" spans="5:7" ht="20.25" customHeight="1">
      <c r="E433" s="672"/>
      <c r="F433" s="106"/>
      <c r="G433" s="739"/>
    </row>
    <row r="434" spans="5:7" ht="20.25" customHeight="1">
      <c r="E434" s="672"/>
      <c r="F434" s="106"/>
      <c r="G434" s="739"/>
    </row>
    <row r="435" spans="5:7" ht="20.25" customHeight="1">
      <c r="E435" s="672"/>
      <c r="F435" s="106"/>
      <c r="G435" s="739"/>
    </row>
    <row r="436" spans="5:7" ht="20.25" customHeight="1">
      <c r="E436" s="672"/>
      <c r="F436" s="106"/>
      <c r="G436" s="739"/>
    </row>
    <row r="437" spans="5:7" ht="20.25" customHeight="1">
      <c r="E437" s="672"/>
      <c r="F437" s="106"/>
      <c r="G437" s="739"/>
    </row>
    <row r="438" spans="5:7" ht="20.25" customHeight="1">
      <c r="E438" s="672"/>
      <c r="F438" s="106"/>
      <c r="G438" s="739"/>
    </row>
    <row r="439" spans="5:7" ht="20.25" customHeight="1">
      <c r="E439" s="672"/>
      <c r="F439" s="106"/>
      <c r="G439" s="739"/>
    </row>
    <row r="440" spans="5:7" ht="20.25" customHeight="1">
      <c r="E440" s="672"/>
      <c r="F440" s="106"/>
      <c r="G440" s="739"/>
    </row>
    <row r="441" spans="5:7" ht="20.25" customHeight="1">
      <c r="E441" s="672"/>
      <c r="F441" s="106"/>
      <c r="G441" s="739"/>
    </row>
    <row r="442" spans="5:7" ht="20.25" customHeight="1">
      <c r="E442" s="672"/>
      <c r="F442" s="106"/>
      <c r="G442" s="739"/>
    </row>
    <row r="443" spans="5:7" ht="20.25" customHeight="1">
      <c r="E443" s="672"/>
      <c r="F443" s="106"/>
      <c r="G443" s="739"/>
    </row>
    <row r="444" spans="5:7" ht="20.25" customHeight="1">
      <c r="E444" s="672"/>
      <c r="F444" s="106"/>
      <c r="G444" s="739"/>
    </row>
    <row r="445" spans="5:7" ht="20.25" customHeight="1">
      <c r="E445" s="672"/>
      <c r="F445" s="106"/>
      <c r="G445" s="739"/>
    </row>
    <row r="446" spans="5:7" ht="20.25" customHeight="1">
      <c r="E446" s="672"/>
      <c r="F446" s="106"/>
      <c r="G446" s="739"/>
    </row>
    <row r="447" spans="5:7" ht="20.25" customHeight="1">
      <c r="E447" s="672"/>
      <c r="F447" s="106"/>
      <c r="G447" s="739"/>
    </row>
    <row r="448" spans="5:7" ht="20.25" customHeight="1">
      <c r="E448" s="672"/>
      <c r="F448" s="106"/>
      <c r="G448" s="739"/>
    </row>
    <row r="449" spans="5:7" ht="20.25" customHeight="1">
      <c r="E449" s="672"/>
      <c r="F449" s="106"/>
      <c r="G449" s="739"/>
    </row>
    <row r="450" spans="5:7" ht="20.25" customHeight="1">
      <c r="E450" s="672"/>
      <c r="F450" s="106"/>
      <c r="G450" s="739"/>
    </row>
    <row r="451" spans="5:7" ht="20.25" customHeight="1">
      <c r="E451" s="672"/>
      <c r="F451" s="106"/>
      <c r="G451" s="739"/>
    </row>
    <row r="452" spans="5:7" ht="20.25" customHeight="1">
      <c r="E452" s="672"/>
      <c r="F452" s="106"/>
      <c r="G452" s="739"/>
    </row>
    <row r="453" spans="5:7" ht="20.25" customHeight="1">
      <c r="E453" s="672"/>
      <c r="F453" s="106"/>
      <c r="G453" s="739"/>
    </row>
    <row r="454" spans="5:7" ht="20.25" customHeight="1">
      <c r="E454" s="672"/>
      <c r="F454" s="106"/>
      <c r="G454" s="739"/>
    </row>
    <row r="455" spans="5:7" ht="20.25" customHeight="1">
      <c r="E455" s="672"/>
      <c r="F455" s="106"/>
      <c r="G455" s="739"/>
    </row>
    <row r="456" spans="5:7" ht="20.25" customHeight="1">
      <c r="E456" s="672"/>
      <c r="F456" s="106"/>
      <c r="G456" s="739"/>
    </row>
    <row r="457" spans="5:7" ht="20.25" customHeight="1">
      <c r="E457" s="672"/>
      <c r="F457" s="106"/>
      <c r="G457" s="739"/>
    </row>
    <row r="458" spans="5:7" ht="20.25" customHeight="1">
      <c r="E458" s="672"/>
      <c r="F458" s="106"/>
      <c r="G458" s="739"/>
    </row>
    <row r="459" spans="5:7" ht="20.25" customHeight="1">
      <c r="E459" s="672"/>
      <c r="F459" s="106"/>
      <c r="G459" s="739"/>
    </row>
    <row r="460" spans="5:7" ht="20.25" customHeight="1">
      <c r="E460" s="672"/>
      <c r="F460" s="106"/>
      <c r="G460" s="739"/>
    </row>
    <row r="461" spans="5:7" ht="20.25" customHeight="1">
      <c r="E461" s="672"/>
      <c r="F461" s="106"/>
      <c r="G461" s="739"/>
    </row>
    <row r="462" spans="5:7" ht="20.25" customHeight="1">
      <c r="E462" s="672"/>
      <c r="F462" s="106"/>
      <c r="G462" s="739"/>
    </row>
    <row r="463" spans="5:7" ht="20.25" customHeight="1">
      <c r="E463" s="672"/>
      <c r="F463" s="106"/>
      <c r="G463" s="739"/>
    </row>
    <row r="464" spans="5:7" ht="20.25" customHeight="1">
      <c r="E464" s="672"/>
      <c r="F464" s="106"/>
      <c r="G464" s="739"/>
    </row>
    <row r="465" spans="5:7" ht="20.25" customHeight="1">
      <c r="E465" s="672"/>
      <c r="F465" s="106"/>
      <c r="G465" s="739"/>
    </row>
    <row r="466" spans="5:7" ht="20.25" customHeight="1">
      <c r="E466" s="672"/>
      <c r="F466" s="106"/>
      <c r="G466" s="739"/>
    </row>
    <row r="467" spans="5:7" ht="20.25" customHeight="1">
      <c r="E467" s="672"/>
      <c r="F467" s="106"/>
      <c r="G467" s="739"/>
    </row>
    <row r="468" spans="5:7" ht="20.25" customHeight="1">
      <c r="E468" s="672"/>
      <c r="F468" s="106"/>
      <c r="G468" s="739"/>
    </row>
    <row r="469" spans="5:7" ht="20.25" customHeight="1">
      <c r="E469" s="672"/>
      <c r="F469" s="106"/>
      <c r="G469" s="739"/>
    </row>
    <row r="470" spans="5:7" ht="20.25" customHeight="1">
      <c r="E470" s="672"/>
      <c r="F470" s="106"/>
      <c r="G470" s="739"/>
    </row>
    <row r="471" spans="5:7" ht="20.25" customHeight="1">
      <c r="E471" s="672"/>
      <c r="F471" s="106"/>
      <c r="G471" s="739"/>
    </row>
    <row r="472" spans="5:7" ht="20.25" customHeight="1">
      <c r="E472" s="672"/>
      <c r="F472" s="106"/>
      <c r="G472" s="739"/>
    </row>
    <row r="473" spans="5:7" ht="20.25" customHeight="1">
      <c r="E473" s="672"/>
      <c r="F473" s="106"/>
      <c r="G473" s="739"/>
    </row>
    <row r="474" spans="5:7" ht="20.25" customHeight="1">
      <c r="E474" s="672"/>
      <c r="F474" s="106"/>
      <c r="G474" s="739"/>
    </row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</sheetData>
  <sheetProtection/>
  <mergeCells count="10">
    <mergeCell ref="A7:A8"/>
    <mergeCell ref="G90:G91"/>
    <mergeCell ref="A1:G1"/>
    <mergeCell ref="A2:G2"/>
    <mergeCell ref="F4:G4"/>
    <mergeCell ref="A5:C5"/>
    <mergeCell ref="D5:D6"/>
    <mergeCell ref="E5:E6"/>
    <mergeCell ref="F5:F6"/>
    <mergeCell ref="G5:G6"/>
  </mergeCells>
  <printOptions horizontalCentered="1"/>
  <pageMargins left="0.3937007874015748" right="0.1968503937007874" top="0.5511811023622047" bottom="0.4330708661417323" header="0.5118110236220472" footer="0.2362204724409449"/>
  <pageSetup fitToHeight="999" horizontalDpi="600" verticalDpi="600" orientation="landscape" paperSize="9" scale="90" r:id="rId1"/>
  <headerFooter alignWithMargins="0">
    <oddFooter>&amp;C&amp;P쪽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25"/>
  <sheetViews>
    <sheetView showGridLines="0" view="pageBreakPreview" zoomScale="80" zoomScaleNormal="85" zoomScaleSheetLayoutView="80" zoomScalePageLayoutView="0" workbookViewId="0" topLeftCell="A1">
      <pane xSplit="3" ySplit="5" topLeftCell="D45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3.5"/>
  <cols>
    <col min="1" max="1" width="10.3359375" style="13" customWidth="1"/>
    <col min="2" max="2" width="9.77734375" style="13" customWidth="1"/>
    <col min="3" max="3" width="10.10546875" style="13" customWidth="1"/>
    <col min="4" max="5" width="14.99609375" style="667" customWidth="1"/>
    <col min="6" max="6" width="12.3359375" style="13" bestFit="1" customWidth="1"/>
    <col min="7" max="7" width="5.77734375" style="743" customWidth="1"/>
    <col min="8" max="8" width="8.5546875" style="743" customWidth="1"/>
    <col min="9" max="9" width="6.3359375" style="743" customWidth="1"/>
    <col min="10" max="10" width="6.10546875" style="743" customWidth="1"/>
    <col min="11" max="11" width="4.4453125" style="743" customWidth="1"/>
    <col min="12" max="12" width="2.10546875" style="743" customWidth="1"/>
    <col min="13" max="13" width="10.4453125" style="743" customWidth="1"/>
    <col min="14" max="14" width="1.33203125" style="744" customWidth="1"/>
    <col min="15" max="15" width="3.88671875" style="744" customWidth="1"/>
    <col min="16" max="16" width="23.3359375" style="744" customWidth="1"/>
    <col min="17" max="16384" width="8.88671875" style="1" customWidth="1"/>
  </cols>
  <sheetData>
    <row r="1" spans="1:16" ht="32.25" customHeight="1">
      <c r="A1" s="1326" t="str">
        <f>'(수입-비등록금회계)'!A1:G1</f>
        <v>2017학년도 비등록금회계 추경예산서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</row>
    <row r="2" spans="1:16" ht="30.75" customHeight="1">
      <c r="A2" s="1334" t="str">
        <f>'(수입-비등록금회계)'!A2:G2</f>
        <v>(2017. 3. 1 부터 2018. 2. 28 까지)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</row>
    <row r="3" spans="1:16" ht="25.5" customHeight="1">
      <c r="A3" s="67" t="s">
        <v>224</v>
      </c>
      <c r="D3" s="641"/>
      <c r="E3" s="641"/>
      <c r="F3" s="126"/>
      <c r="O3" s="1384" t="s">
        <v>88</v>
      </c>
      <c r="P3" s="1384"/>
    </row>
    <row r="4" spans="1:16" s="2" customFormat="1" ht="30" customHeight="1">
      <c r="A4" s="14"/>
      <c r="B4" s="15" t="s">
        <v>225</v>
      </c>
      <c r="C4" s="16"/>
      <c r="D4" s="1339" t="s">
        <v>1365</v>
      </c>
      <c r="E4" s="1339" t="s">
        <v>1366</v>
      </c>
      <c r="F4" s="1413" t="s">
        <v>324</v>
      </c>
      <c r="G4" s="1415" t="s">
        <v>5</v>
      </c>
      <c r="H4" s="1416"/>
      <c r="I4" s="1416"/>
      <c r="J4" s="1416"/>
      <c r="K4" s="1416"/>
      <c r="L4" s="1416"/>
      <c r="M4" s="1416"/>
      <c r="N4" s="1416"/>
      <c r="O4" s="1416"/>
      <c r="P4" s="1417"/>
    </row>
    <row r="5" spans="1:16" ht="30" customHeight="1">
      <c r="A5" s="17" t="s">
        <v>113</v>
      </c>
      <c r="B5" s="18" t="s">
        <v>114</v>
      </c>
      <c r="C5" s="18" t="s">
        <v>228</v>
      </c>
      <c r="D5" s="1340"/>
      <c r="E5" s="1340"/>
      <c r="F5" s="1414"/>
      <c r="G5" s="1418"/>
      <c r="H5" s="1419"/>
      <c r="I5" s="1419"/>
      <c r="J5" s="1419"/>
      <c r="K5" s="1419"/>
      <c r="L5" s="1419"/>
      <c r="M5" s="1419"/>
      <c r="N5" s="1419"/>
      <c r="O5" s="1419"/>
      <c r="P5" s="1420"/>
    </row>
    <row r="6" spans="1:16" ht="30" customHeight="1">
      <c r="A6" s="1337" t="s">
        <v>62</v>
      </c>
      <c r="B6" s="19"/>
      <c r="C6" s="19"/>
      <c r="D6" s="642"/>
      <c r="E6" s="642"/>
      <c r="F6" s="299"/>
      <c r="G6" s="745"/>
      <c r="H6" s="746"/>
      <c r="I6" s="746"/>
      <c r="J6" s="746"/>
      <c r="K6" s="746"/>
      <c r="L6" s="746"/>
      <c r="M6" s="746"/>
      <c r="N6" s="747"/>
      <c r="O6" s="747"/>
      <c r="P6" s="748"/>
    </row>
    <row r="7" spans="1:16" ht="30" customHeight="1" thickBot="1">
      <c r="A7" s="1338"/>
      <c r="B7" s="20"/>
      <c r="C7" s="20"/>
      <c r="D7" s="643">
        <f>D9+D74+D294+D413+D431+D439+D445+D470+D531+D541</f>
        <v>96630917</v>
      </c>
      <c r="E7" s="643">
        <f>E9+E74+E294+E413+E431+E439+E445+E470+E531+E541</f>
        <v>70640049</v>
      </c>
      <c r="F7" s="304">
        <f>D7-E7</f>
        <v>25990868</v>
      </c>
      <c r="G7" s="749"/>
      <c r="H7" s="750"/>
      <c r="I7" s="750"/>
      <c r="J7" s="750"/>
      <c r="K7" s="750"/>
      <c r="L7" s="750"/>
      <c r="M7" s="750"/>
      <c r="N7" s="751"/>
      <c r="O7" s="751"/>
      <c r="P7" s="752"/>
    </row>
    <row r="8" spans="1:16" ht="30" customHeight="1" thickTop="1">
      <c r="A8" s="21">
        <v>4100</v>
      </c>
      <c r="B8" s="22"/>
      <c r="C8" s="22"/>
      <c r="D8" s="644"/>
      <c r="E8" s="644"/>
      <c r="F8" s="300"/>
      <c r="G8" s="753"/>
      <c r="H8" s="753"/>
      <c r="I8" s="753"/>
      <c r="J8" s="753"/>
      <c r="K8" s="753"/>
      <c r="L8" s="753"/>
      <c r="M8" s="753"/>
      <c r="N8" s="754"/>
      <c r="O8" s="754"/>
      <c r="P8" s="755"/>
    </row>
    <row r="9" spans="1:16" ht="30" customHeight="1">
      <c r="A9" s="25" t="s">
        <v>229</v>
      </c>
      <c r="B9" s="24"/>
      <c r="C9" s="24"/>
      <c r="D9" s="645">
        <f>D11+D51</f>
        <v>3422731</v>
      </c>
      <c r="E9" s="645">
        <f>E11+E51</f>
        <v>3161576</v>
      </c>
      <c r="F9" s="286">
        <f>D9-E9</f>
        <v>261155</v>
      </c>
      <c r="G9" s="756"/>
      <c r="H9" s="756"/>
      <c r="I9" s="756"/>
      <c r="J9" s="756"/>
      <c r="K9" s="756"/>
      <c r="L9" s="756"/>
      <c r="M9" s="756"/>
      <c r="N9" s="757"/>
      <c r="O9" s="757"/>
      <c r="P9" s="758"/>
    </row>
    <row r="10" spans="1:16" ht="30" customHeight="1">
      <c r="A10" s="25"/>
      <c r="B10" s="26">
        <v>4110</v>
      </c>
      <c r="C10" s="27"/>
      <c r="D10" s="646"/>
      <c r="E10" s="646"/>
      <c r="F10" s="287"/>
      <c r="G10" s="759"/>
      <c r="H10" s="759"/>
      <c r="I10" s="759"/>
      <c r="J10" s="759"/>
      <c r="K10" s="760"/>
      <c r="L10" s="759"/>
      <c r="M10" s="759"/>
      <c r="N10" s="761"/>
      <c r="O10" s="761"/>
      <c r="P10" s="762"/>
    </row>
    <row r="11" spans="1:16" ht="30" customHeight="1">
      <c r="A11" s="25"/>
      <c r="B11" s="27" t="s">
        <v>230</v>
      </c>
      <c r="C11" s="24"/>
      <c r="D11" s="645">
        <f>D13+D20+D22+D27+D32+D35+D45+D47</f>
        <v>2975930</v>
      </c>
      <c r="E11" s="645">
        <f>E13+E20+E22+E27+E32+E35+E45+E47</f>
        <v>2724800</v>
      </c>
      <c r="F11" s="286">
        <f>D11-E11</f>
        <v>251130</v>
      </c>
      <c r="G11" s="756"/>
      <c r="H11" s="756"/>
      <c r="I11" s="756"/>
      <c r="J11" s="756"/>
      <c r="K11" s="756"/>
      <c r="L11" s="756"/>
      <c r="M11" s="756"/>
      <c r="N11" s="757"/>
      <c r="O11" s="757"/>
      <c r="P11" s="758"/>
    </row>
    <row r="12" spans="1:16" ht="30" customHeight="1">
      <c r="A12" s="25"/>
      <c r="B12" s="27"/>
      <c r="C12" s="26">
        <v>4111</v>
      </c>
      <c r="D12" s="646"/>
      <c r="E12" s="646"/>
      <c r="F12" s="287"/>
      <c r="G12" s="763"/>
      <c r="H12" s="764"/>
      <c r="I12" s="764"/>
      <c r="J12" s="764"/>
      <c r="K12" s="764"/>
      <c r="L12" s="764"/>
      <c r="M12" s="764"/>
      <c r="N12" s="1382" t="s">
        <v>3</v>
      </c>
      <c r="O12" s="1382"/>
      <c r="P12" s="1383"/>
    </row>
    <row r="13" spans="1:16" ht="30" customHeight="1">
      <c r="A13" s="25"/>
      <c r="B13" s="27"/>
      <c r="C13" s="27" t="s">
        <v>231</v>
      </c>
      <c r="D13" s="646">
        <v>0</v>
      </c>
      <c r="E13" s="646">
        <v>0</v>
      </c>
      <c r="F13" s="287">
        <f>D13-E13</f>
        <v>0</v>
      </c>
      <c r="G13" s="766"/>
      <c r="I13" s="766"/>
      <c r="J13" s="759"/>
      <c r="K13" s="760"/>
      <c r="L13" s="760"/>
      <c r="M13" s="766"/>
      <c r="N13" s="1380"/>
      <c r="O13" s="1353"/>
      <c r="P13" s="1354"/>
    </row>
    <row r="14" spans="1:16" ht="30" customHeight="1">
      <c r="A14" s="25"/>
      <c r="B14" s="27"/>
      <c r="C14" s="27"/>
      <c r="D14" s="646"/>
      <c r="E14" s="646"/>
      <c r="F14" s="287"/>
      <c r="G14" s="766"/>
      <c r="I14" s="766"/>
      <c r="J14" s="759"/>
      <c r="K14" s="760"/>
      <c r="L14" s="760"/>
      <c r="M14" s="759"/>
      <c r="N14" s="1380"/>
      <c r="O14" s="1353"/>
      <c r="P14" s="1354"/>
    </row>
    <row r="15" spans="1:16" ht="30" customHeight="1">
      <c r="A15" s="25"/>
      <c r="B15" s="27"/>
      <c r="C15" s="27"/>
      <c r="D15" s="646"/>
      <c r="E15" s="646"/>
      <c r="F15" s="287"/>
      <c r="G15" s="766"/>
      <c r="I15" s="766"/>
      <c r="J15" s="759"/>
      <c r="K15" s="760"/>
      <c r="L15" s="760"/>
      <c r="M15" s="759"/>
      <c r="N15" s="1380"/>
      <c r="O15" s="1353"/>
      <c r="P15" s="1354"/>
    </row>
    <row r="16" spans="1:16" ht="30" customHeight="1">
      <c r="A16" s="25"/>
      <c r="B16" s="27"/>
      <c r="C16" s="27"/>
      <c r="D16" s="646"/>
      <c r="E16" s="646"/>
      <c r="F16" s="287"/>
      <c r="G16" s="766"/>
      <c r="I16" s="766"/>
      <c r="J16" s="759"/>
      <c r="K16" s="760"/>
      <c r="L16" s="760"/>
      <c r="M16" s="759"/>
      <c r="N16" s="1380"/>
      <c r="O16" s="1353"/>
      <c r="P16" s="1354"/>
    </row>
    <row r="17" spans="1:16" ht="30" customHeight="1">
      <c r="A17" s="25"/>
      <c r="B17" s="27"/>
      <c r="C17" s="27"/>
      <c r="D17" s="646"/>
      <c r="E17" s="646"/>
      <c r="F17" s="287"/>
      <c r="G17" s="766"/>
      <c r="I17" s="766"/>
      <c r="J17" s="759"/>
      <c r="K17" s="760"/>
      <c r="L17" s="760"/>
      <c r="M17" s="759"/>
      <c r="N17" s="767"/>
      <c r="O17" s="761"/>
      <c r="P17" s="762"/>
    </row>
    <row r="18" spans="1:16" ht="30" customHeight="1">
      <c r="A18" s="25"/>
      <c r="B18" s="27"/>
      <c r="C18" s="27"/>
      <c r="D18" s="646"/>
      <c r="E18" s="646"/>
      <c r="F18" s="287"/>
      <c r="G18" s="766"/>
      <c r="I18" s="759"/>
      <c r="J18" s="759"/>
      <c r="K18" s="759"/>
      <c r="L18" s="759"/>
      <c r="M18" s="768"/>
      <c r="N18" s="1375"/>
      <c r="O18" s="1375"/>
      <c r="P18" s="1376"/>
    </row>
    <row r="19" spans="1:16" ht="30" customHeight="1">
      <c r="A19" s="25"/>
      <c r="B19" s="27"/>
      <c r="C19" s="28">
        <v>4112</v>
      </c>
      <c r="D19" s="647"/>
      <c r="E19" s="647"/>
      <c r="F19" s="288"/>
      <c r="G19" s="763"/>
      <c r="H19" s="769"/>
      <c r="I19" s="769"/>
      <c r="J19" s="769"/>
      <c r="K19" s="769"/>
      <c r="L19" s="769"/>
      <c r="M19" s="769"/>
      <c r="N19" s="770"/>
      <c r="O19" s="770"/>
      <c r="P19" s="771"/>
    </row>
    <row r="20" spans="1:16" ht="30" customHeight="1">
      <c r="A20" s="25"/>
      <c r="B20" s="27"/>
      <c r="C20" s="27" t="s">
        <v>232</v>
      </c>
      <c r="D20" s="646">
        <v>0</v>
      </c>
      <c r="E20" s="646">
        <v>0</v>
      </c>
      <c r="F20" s="287">
        <f>D20-E20</f>
        <v>0</v>
      </c>
      <c r="G20" s="759"/>
      <c r="H20" s="759"/>
      <c r="I20" s="759"/>
      <c r="J20" s="759"/>
      <c r="K20" s="759"/>
      <c r="L20" s="760"/>
      <c r="M20" s="760"/>
      <c r="N20" s="1351"/>
      <c r="O20" s="1351"/>
      <c r="P20" s="1352"/>
    </row>
    <row r="21" spans="1:16" ht="30" customHeight="1">
      <c r="A21" s="25"/>
      <c r="B21" s="27"/>
      <c r="C21" s="1074">
        <v>4113</v>
      </c>
      <c r="D21" s="1075"/>
      <c r="E21" s="1075"/>
      <c r="F21" s="954"/>
      <c r="G21" s="1084" t="s">
        <v>1007</v>
      </c>
      <c r="H21" s="1085"/>
      <c r="I21" s="1085"/>
      <c r="J21" s="1085"/>
      <c r="K21" s="1086" t="s">
        <v>3</v>
      </c>
      <c r="L21" s="1086" t="s">
        <v>3</v>
      </c>
      <c r="M21" s="1086"/>
      <c r="N21" s="1440" t="s">
        <v>3</v>
      </c>
      <c r="O21" s="1440"/>
      <c r="P21" s="1441"/>
    </row>
    <row r="22" spans="1:16" ht="32.25" customHeight="1">
      <c r="A22" s="25"/>
      <c r="B22" s="27"/>
      <c r="C22" s="27" t="s">
        <v>233</v>
      </c>
      <c r="D22" s="646">
        <v>307966</v>
      </c>
      <c r="E22" s="646">
        <v>150000</v>
      </c>
      <c r="F22" s="287">
        <f>D22-E22</f>
        <v>157966</v>
      </c>
      <c r="G22" s="776" t="s">
        <v>968</v>
      </c>
      <c r="H22" s="773"/>
      <c r="I22" s="773"/>
      <c r="J22" s="773"/>
      <c r="K22" s="773"/>
      <c r="L22" s="774" t="s">
        <v>3</v>
      </c>
      <c r="M22" s="774"/>
      <c r="N22" s="1359">
        <v>30000000</v>
      </c>
      <c r="O22" s="1359"/>
      <c r="P22" s="1360"/>
    </row>
    <row r="23" spans="1:16" ht="30" customHeight="1">
      <c r="A23" s="25"/>
      <c r="B23" s="27"/>
      <c r="C23" s="27"/>
      <c r="D23" s="646"/>
      <c r="E23" s="646"/>
      <c r="F23" s="287"/>
      <c r="G23" s="766" t="s">
        <v>1006</v>
      </c>
      <c r="H23" s="773"/>
      <c r="I23" s="766"/>
      <c r="J23" s="759"/>
      <c r="K23" s="760"/>
      <c r="L23" s="760"/>
      <c r="M23" s="759"/>
      <c r="N23" s="1380"/>
      <c r="O23" s="1380"/>
      <c r="P23" s="1381"/>
    </row>
    <row r="24" spans="1:16" ht="30" customHeight="1">
      <c r="A24" s="25"/>
      <c r="B24" s="27"/>
      <c r="C24" s="27"/>
      <c r="D24" s="646"/>
      <c r="E24" s="646"/>
      <c r="F24" s="287"/>
      <c r="G24" s="776" t="s">
        <v>968</v>
      </c>
      <c r="H24" s="773"/>
      <c r="I24" s="773"/>
      <c r="J24" s="773"/>
      <c r="K24" s="773"/>
      <c r="L24" s="774" t="s">
        <v>3</v>
      </c>
      <c r="M24" s="774"/>
      <c r="N24" s="1359">
        <v>277966000</v>
      </c>
      <c r="O24" s="1359"/>
      <c r="P24" s="1360"/>
    </row>
    <row r="25" spans="1:16" ht="30" customHeight="1">
      <c r="A25" s="25"/>
      <c r="B25" s="27"/>
      <c r="C25" s="24"/>
      <c r="D25" s="645"/>
      <c r="E25" s="645"/>
      <c r="F25" s="286"/>
      <c r="G25" s="777" t="s">
        <v>77</v>
      </c>
      <c r="H25" s="778"/>
      <c r="I25" s="779"/>
      <c r="J25" s="757"/>
      <c r="K25" s="779"/>
      <c r="L25" s="779"/>
      <c r="M25" s="768" t="s">
        <v>3</v>
      </c>
      <c r="N25" s="1378">
        <f>SUM(N22:P24)</f>
        <v>307966000</v>
      </c>
      <c r="O25" s="1378"/>
      <c r="P25" s="1379"/>
    </row>
    <row r="26" spans="1:16" ht="30" customHeight="1">
      <c r="A26" s="25"/>
      <c r="B26" s="27"/>
      <c r="C26" s="27">
        <v>4114</v>
      </c>
      <c r="D26" s="646"/>
      <c r="E26" s="646"/>
      <c r="F26" s="287"/>
      <c r="G26" s="773"/>
      <c r="H26" s="774"/>
      <c r="I26" s="774"/>
      <c r="J26" s="774"/>
      <c r="K26" s="774"/>
      <c r="L26" s="774"/>
      <c r="M26" s="774"/>
      <c r="N26" s="1362" t="s">
        <v>3</v>
      </c>
      <c r="O26" s="1362"/>
      <c r="P26" s="1363"/>
    </row>
    <row r="27" spans="1:16" ht="30" customHeight="1">
      <c r="A27" s="25"/>
      <c r="B27" s="27"/>
      <c r="C27" s="32" t="s">
        <v>234</v>
      </c>
      <c r="D27" s="646">
        <v>2284933</v>
      </c>
      <c r="E27" s="655">
        <v>2110800</v>
      </c>
      <c r="F27" s="287">
        <f>D27-E27</f>
        <v>174133</v>
      </c>
      <c r="G27" s="773" t="s">
        <v>412</v>
      </c>
      <c r="H27" s="773"/>
      <c r="I27" s="782">
        <v>12</v>
      </c>
      <c r="J27" s="782" t="s">
        <v>105</v>
      </c>
      <c r="K27" s="773"/>
      <c r="L27" s="1351">
        <v>120000000</v>
      </c>
      <c r="M27" s="1351"/>
      <c r="N27" s="1353">
        <f>L27*I27</f>
        <v>1440000000</v>
      </c>
      <c r="O27" s="1353"/>
      <c r="P27" s="1354"/>
    </row>
    <row r="28" spans="1:16" ht="30" customHeight="1">
      <c r="A28" s="25"/>
      <c r="B28" s="27"/>
      <c r="C28" s="27"/>
      <c r="D28" s="646"/>
      <c r="E28" s="646"/>
      <c r="F28" s="287"/>
      <c r="G28" s="781" t="s">
        <v>341</v>
      </c>
      <c r="H28" s="773"/>
      <c r="I28" s="782">
        <v>12</v>
      </c>
      <c r="J28" s="782" t="s">
        <v>105</v>
      </c>
      <c r="L28" s="1351">
        <v>50000000</v>
      </c>
      <c r="M28" s="1351"/>
      <c r="N28" s="1353">
        <f>L28*I28</f>
        <v>600000000</v>
      </c>
      <c r="O28" s="1353"/>
      <c r="P28" s="1354"/>
    </row>
    <row r="29" spans="1:16" ht="30" customHeight="1">
      <c r="A29" s="25"/>
      <c r="B29" s="27"/>
      <c r="C29" s="27"/>
      <c r="D29" s="646"/>
      <c r="E29" s="646"/>
      <c r="F29" s="287"/>
      <c r="G29" s="781" t="s">
        <v>1352</v>
      </c>
      <c r="H29" s="773"/>
      <c r="I29" s="782"/>
      <c r="J29" s="782"/>
      <c r="L29" s="760"/>
      <c r="M29" s="760"/>
      <c r="N29" s="761"/>
      <c r="O29" s="761"/>
      <c r="P29" s="762">
        <v>244933000</v>
      </c>
    </row>
    <row r="30" spans="1:16" ht="30" customHeight="1">
      <c r="A30" s="25"/>
      <c r="B30" s="27"/>
      <c r="C30" s="27"/>
      <c r="D30" s="646"/>
      <c r="E30" s="646"/>
      <c r="F30" s="286"/>
      <c r="G30" s="781" t="s">
        <v>342</v>
      </c>
      <c r="H30" s="759"/>
      <c r="I30" s="759"/>
      <c r="J30" s="759"/>
      <c r="K30" s="759"/>
      <c r="L30" s="760" t="s">
        <v>3</v>
      </c>
      <c r="M30" s="767" t="s">
        <v>3</v>
      </c>
      <c r="N30" s="1378">
        <f>SUM(N27:P29)</f>
        <v>2284933000</v>
      </c>
      <c r="O30" s="1378"/>
      <c r="P30" s="1379"/>
    </row>
    <row r="31" spans="1:16" ht="26.25" customHeight="1">
      <c r="A31" s="25"/>
      <c r="B31" s="27"/>
      <c r="C31" s="28">
        <v>4115</v>
      </c>
      <c r="D31" s="647"/>
      <c r="E31" s="647"/>
      <c r="F31" s="288"/>
      <c r="G31" s="763"/>
      <c r="H31" s="783"/>
      <c r="I31" s="783"/>
      <c r="J31" s="783"/>
      <c r="K31" s="783"/>
      <c r="L31" s="765"/>
      <c r="M31" s="765"/>
      <c r="N31" s="1397" t="s">
        <v>3</v>
      </c>
      <c r="O31" s="1397"/>
      <c r="P31" s="1398"/>
    </row>
    <row r="32" spans="1:16" ht="30" customHeight="1">
      <c r="A32" s="25"/>
      <c r="B32" s="27"/>
      <c r="C32" s="27" t="s">
        <v>235</v>
      </c>
      <c r="D32" s="646">
        <v>0</v>
      </c>
      <c r="E32" s="646">
        <v>15000</v>
      </c>
      <c r="F32" s="287">
        <f>D32-E32</f>
        <v>-15000</v>
      </c>
      <c r="G32" s="776"/>
      <c r="H32" s="759"/>
      <c r="I32" s="759"/>
      <c r="J32" s="759"/>
      <c r="K32" s="759"/>
      <c r="L32" s="760"/>
      <c r="M32" s="760"/>
      <c r="N32" s="1353" t="s">
        <v>3</v>
      </c>
      <c r="O32" s="1353"/>
      <c r="P32" s="1354"/>
    </row>
    <row r="33" spans="1:16" ht="30" customHeight="1">
      <c r="A33" s="25"/>
      <c r="B33" s="27"/>
      <c r="C33" s="27"/>
      <c r="D33" s="646"/>
      <c r="E33" s="646"/>
      <c r="F33" s="287"/>
      <c r="G33" s="773"/>
      <c r="H33" s="773"/>
      <c r="I33" s="773"/>
      <c r="J33" s="773"/>
      <c r="K33" s="773"/>
      <c r="L33" s="773"/>
      <c r="M33" s="773"/>
      <c r="N33" s="1041"/>
      <c r="O33" s="1041"/>
      <c r="P33" s="1042"/>
    </row>
    <row r="34" spans="1:16" ht="21" customHeight="1">
      <c r="A34" s="41"/>
      <c r="B34" s="125"/>
      <c r="C34" s="28">
        <v>4116</v>
      </c>
      <c r="D34" s="649"/>
      <c r="E34" s="649"/>
      <c r="F34" s="301"/>
      <c r="H34" s="773"/>
      <c r="I34" s="774"/>
      <c r="J34" s="774"/>
      <c r="K34" s="769"/>
      <c r="L34" s="774"/>
      <c r="M34" s="774"/>
      <c r="N34" s="786"/>
      <c r="O34" s="786"/>
      <c r="P34" s="787"/>
    </row>
    <row r="35" spans="1:16" ht="30" customHeight="1">
      <c r="A35" s="25"/>
      <c r="B35" s="27"/>
      <c r="C35" s="27" t="s">
        <v>92</v>
      </c>
      <c r="D35" s="646">
        <v>380371</v>
      </c>
      <c r="E35" s="655">
        <v>441000</v>
      </c>
      <c r="F35" s="287">
        <f>D35-E35</f>
        <v>-60629</v>
      </c>
      <c r="G35" s="773" t="s">
        <v>7</v>
      </c>
      <c r="H35" s="773"/>
      <c r="I35" s="773"/>
      <c r="J35" s="773"/>
      <c r="K35" s="773"/>
      <c r="L35" s="773"/>
      <c r="M35" s="773"/>
      <c r="N35" s="1351" t="s">
        <v>3</v>
      </c>
      <c r="O35" s="1351"/>
      <c r="P35" s="1352"/>
    </row>
    <row r="36" spans="1:16" ht="27" customHeight="1">
      <c r="A36" s="25"/>
      <c r="B36" s="27"/>
      <c r="C36" s="27"/>
      <c r="D36" s="646"/>
      <c r="E36" s="646"/>
      <c r="F36" s="287"/>
      <c r="G36" s="1357" t="s">
        <v>884</v>
      </c>
      <c r="H36" s="1358"/>
      <c r="I36" s="1358"/>
      <c r="J36" s="1358"/>
      <c r="K36" s="1358"/>
      <c r="L36" s="1358"/>
      <c r="M36" s="1358"/>
      <c r="N36" s="1353">
        <v>10000000</v>
      </c>
      <c r="O36" s="1353"/>
      <c r="P36" s="1354"/>
    </row>
    <row r="37" spans="1:16" ht="27" customHeight="1">
      <c r="A37" s="25"/>
      <c r="B37" s="27"/>
      <c r="C37" s="27"/>
      <c r="D37" s="646"/>
      <c r="E37" s="646"/>
      <c r="F37" s="287"/>
      <c r="G37" s="781" t="s">
        <v>360</v>
      </c>
      <c r="H37" s="759"/>
      <c r="I37" s="759"/>
      <c r="J37" s="759"/>
      <c r="K37" s="759"/>
      <c r="L37" s="760"/>
      <c r="M37" s="760"/>
      <c r="N37" s="1353">
        <f>SUM(N35:P36)</f>
        <v>10000000</v>
      </c>
      <c r="O37" s="1353"/>
      <c r="P37" s="1354"/>
    </row>
    <row r="38" spans="1:16" ht="27" customHeight="1">
      <c r="A38" s="25"/>
      <c r="B38" s="27"/>
      <c r="C38" s="27"/>
      <c r="D38" s="646"/>
      <c r="E38" s="646"/>
      <c r="F38" s="287"/>
      <c r="G38" s="781" t="s">
        <v>6</v>
      </c>
      <c r="H38" s="759"/>
      <c r="I38" s="759"/>
      <c r="J38" s="759"/>
      <c r="K38" s="759"/>
      <c r="L38" s="760"/>
      <c r="M38" s="760"/>
      <c r="N38" s="1351" t="s">
        <v>3</v>
      </c>
      <c r="O38" s="1351"/>
      <c r="P38" s="1352"/>
    </row>
    <row r="39" spans="1:16" ht="27" customHeight="1">
      <c r="A39" s="25"/>
      <c r="B39" s="27"/>
      <c r="C39" s="27"/>
      <c r="D39" s="646"/>
      <c r="E39" s="646"/>
      <c r="F39" s="287"/>
      <c r="G39" s="781" t="s">
        <v>1353</v>
      </c>
      <c r="H39" s="759"/>
      <c r="I39" s="759"/>
      <c r="J39" s="759"/>
      <c r="K39" s="759"/>
      <c r="L39" s="760"/>
      <c r="M39" s="760"/>
      <c r="N39" s="1353">
        <v>205371000</v>
      </c>
      <c r="O39" s="1353"/>
      <c r="P39" s="1354"/>
    </row>
    <row r="40" spans="1:16" ht="27" customHeight="1">
      <c r="A40" s="25"/>
      <c r="B40" s="27"/>
      <c r="C40" s="27"/>
      <c r="D40" s="646"/>
      <c r="E40" s="646"/>
      <c r="F40" s="287"/>
      <c r="G40" s="781" t="s">
        <v>348</v>
      </c>
      <c r="H40" s="759"/>
      <c r="I40" s="759"/>
      <c r="J40" s="759"/>
      <c r="K40" s="759"/>
      <c r="L40" s="760"/>
      <c r="M40" s="760"/>
      <c r="N40" s="1353">
        <v>65000000</v>
      </c>
      <c r="O40" s="1353"/>
      <c r="P40" s="1354"/>
    </row>
    <row r="41" spans="1:16" ht="27" customHeight="1">
      <c r="A41" s="25"/>
      <c r="B41" s="27"/>
      <c r="C41" s="27"/>
      <c r="D41" s="646"/>
      <c r="E41" s="646"/>
      <c r="F41" s="287"/>
      <c r="G41" s="781" t="s">
        <v>1037</v>
      </c>
      <c r="H41" s="759"/>
      <c r="I41" s="759"/>
      <c r="J41" s="759"/>
      <c r="K41" s="759"/>
      <c r="L41" s="760"/>
      <c r="M41" s="760"/>
      <c r="N41" s="1353">
        <v>100000000</v>
      </c>
      <c r="O41" s="1353"/>
      <c r="P41" s="1354"/>
    </row>
    <row r="42" spans="1:16" ht="27" customHeight="1">
      <c r="A42" s="25"/>
      <c r="B42" s="27"/>
      <c r="C42" s="27"/>
      <c r="D42" s="646"/>
      <c r="E42" s="646"/>
      <c r="F42" s="287"/>
      <c r="G42" s="781" t="s">
        <v>360</v>
      </c>
      <c r="H42" s="759"/>
      <c r="I42" s="759"/>
      <c r="J42" s="759"/>
      <c r="K42" s="759"/>
      <c r="L42" s="760"/>
      <c r="M42" s="760"/>
      <c r="N42" s="761"/>
      <c r="O42" s="761"/>
      <c r="P42" s="762">
        <f>SUM(N39:P41)</f>
        <v>370371000</v>
      </c>
    </row>
    <row r="43" spans="1:16" ht="32.25" customHeight="1">
      <c r="A43" s="25"/>
      <c r="B43" s="27"/>
      <c r="C43" s="306"/>
      <c r="D43" s="650"/>
      <c r="E43" s="650"/>
      <c r="F43" s="294"/>
      <c r="G43" s="790" t="s">
        <v>44</v>
      </c>
      <c r="H43" s="791"/>
      <c r="I43" s="791"/>
      <c r="J43" s="791"/>
      <c r="K43" s="791"/>
      <c r="L43" s="1037"/>
      <c r="M43" s="1037" t="s">
        <v>3</v>
      </c>
      <c r="N43" s="1378">
        <f>N37+P42</f>
        <v>380371000</v>
      </c>
      <c r="O43" s="1378"/>
      <c r="P43" s="1379"/>
    </row>
    <row r="44" spans="1:16" ht="26.25" customHeight="1">
      <c r="A44" s="25"/>
      <c r="B44" s="27"/>
      <c r="C44" s="27">
        <v>4117</v>
      </c>
      <c r="D44" s="646"/>
      <c r="E44" s="646"/>
      <c r="F44" s="287"/>
      <c r="G44" s="774"/>
      <c r="H44" s="774"/>
      <c r="I44" s="774"/>
      <c r="J44" s="774"/>
      <c r="K44" s="774"/>
      <c r="L44" s="774"/>
      <c r="M44" s="774"/>
      <c r="N44" s="786"/>
      <c r="O44" s="786"/>
      <c r="P44" s="787"/>
    </row>
    <row r="45" spans="1:16" ht="32.25" customHeight="1">
      <c r="A45" s="25"/>
      <c r="B45" s="27"/>
      <c r="C45" s="24" t="s">
        <v>97</v>
      </c>
      <c r="D45" s="645">
        <v>0</v>
      </c>
      <c r="E45" s="645">
        <v>0</v>
      </c>
      <c r="F45" s="286">
        <f>D45-E45</f>
        <v>0</v>
      </c>
      <c r="G45" s="1386"/>
      <c r="H45" s="1387"/>
      <c r="I45" s="1387"/>
      <c r="J45" s="1387"/>
      <c r="K45" s="1387"/>
      <c r="L45" s="768"/>
      <c r="M45" s="768"/>
      <c r="N45" s="1378"/>
      <c r="O45" s="1378"/>
      <c r="P45" s="1379"/>
    </row>
    <row r="46" spans="1:16" ht="32.25" customHeight="1">
      <c r="A46" s="25"/>
      <c r="B46" s="27"/>
      <c r="C46" s="27">
        <v>4118</v>
      </c>
      <c r="D46" s="646"/>
      <c r="E46" s="646"/>
      <c r="F46" s="287"/>
      <c r="G46" s="781"/>
      <c r="H46" s="773"/>
      <c r="I46" s="760"/>
      <c r="J46" s="766"/>
      <c r="K46" s="759"/>
      <c r="L46" s="773"/>
      <c r="M46" s="759"/>
      <c r="N46" s="1353"/>
      <c r="O46" s="1353"/>
      <c r="P46" s="1354"/>
    </row>
    <row r="47" spans="1:16" ht="32.25" customHeight="1">
      <c r="A47" s="25"/>
      <c r="B47" s="27"/>
      <c r="C47" s="27" t="s">
        <v>236</v>
      </c>
      <c r="D47" s="646">
        <v>2660</v>
      </c>
      <c r="E47" s="646">
        <v>8000</v>
      </c>
      <c r="F47" s="287">
        <f>D47-E47</f>
        <v>-5340</v>
      </c>
      <c r="G47" s="781" t="s">
        <v>1175</v>
      </c>
      <c r="H47" s="773"/>
      <c r="I47" s="760"/>
      <c r="J47" s="766"/>
      <c r="K47" s="759"/>
      <c r="L47" s="773"/>
      <c r="M47" s="759"/>
      <c r="N47" s="1353">
        <v>1000000</v>
      </c>
      <c r="O47" s="1353"/>
      <c r="P47" s="1354"/>
    </row>
    <row r="48" spans="1:16" ht="32.25" customHeight="1">
      <c r="A48" s="25"/>
      <c r="B48" s="325"/>
      <c r="C48" s="325"/>
      <c r="D48" s="655"/>
      <c r="E48" s="655"/>
      <c r="F48" s="326"/>
      <c r="G48" s="781" t="s">
        <v>1030</v>
      </c>
      <c r="H48" s="773"/>
      <c r="I48" s="760"/>
      <c r="J48" s="766"/>
      <c r="K48" s="759"/>
      <c r="L48" s="773"/>
      <c r="M48" s="759"/>
      <c r="N48" s="761"/>
      <c r="O48" s="761"/>
      <c r="P48" s="762">
        <v>1660000</v>
      </c>
    </row>
    <row r="49" spans="1:16" ht="32.25" customHeight="1">
      <c r="A49" s="25"/>
      <c r="B49" s="325"/>
      <c r="C49" s="325"/>
      <c r="D49" s="655"/>
      <c r="E49" s="655"/>
      <c r="F49" s="326"/>
      <c r="G49" s="759" t="s">
        <v>1176</v>
      </c>
      <c r="H49" s="773"/>
      <c r="I49" s="760"/>
      <c r="J49" s="766"/>
      <c r="K49" s="759"/>
      <c r="L49" s="773"/>
      <c r="M49" s="759"/>
      <c r="N49" s="761"/>
      <c r="O49" s="761"/>
      <c r="P49" s="762">
        <f>N47+P48</f>
        <v>2660000</v>
      </c>
    </row>
    <row r="50" spans="1:16" ht="30" customHeight="1">
      <c r="A50" s="25"/>
      <c r="B50" s="28">
        <v>4120</v>
      </c>
      <c r="C50" s="28"/>
      <c r="D50" s="647"/>
      <c r="E50" s="647"/>
      <c r="F50" s="288"/>
      <c r="G50" s="783"/>
      <c r="H50" s="783"/>
      <c r="I50" s="783"/>
      <c r="J50" s="783"/>
      <c r="K50" s="783"/>
      <c r="L50" s="765"/>
      <c r="M50" s="765"/>
      <c r="N50" s="784"/>
      <c r="O50" s="784"/>
      <c r="P50" s="785"/>
    </row>
    <row r="51" spans="1:16" ht="32.25" customHeight="1">
      <c r="A51" s="25"/>
      <c r="B51" s="27" t="s">
        <v>237</v>
      </c>
      <c r="C51" s="24"/>
      <c r="D51" s="645">
        <f>D53+D55+D57+D59+D65+D68+D71</f>
        <v>446801</v>
      </c>
      <c r="E51" s="645">
        <f>E53+E55+E57+E59+E65+E68+E71</f>
        <v>436776</v>
      </c>
      <c r="F51" s="286">
        <f>D51-E51</f>
        <v>10025</v>
      </c>
      <c r="G51" s="756"/>
      <c r="H51" s="756"/>
      <c r="I51" s="756"/>
      <c r="J51" s="756"/>
      <c r="K51" s="756"/>
      <c r="L51" s="768"/>
      <c r="M51" s="768"/>
      <c r="N51" s="757"/>
      <c r="O51" s="757"/>
      <c r="P51" s="758"/>
    </row>
    <row r="52" spans="1:16" ht="32.25" customHeight="1">
      <c r="A52" s="25"/>
      <c r="B52" s="27"/>
      <c r="C52" s="332">
        <v>4121</v>
      </c>
      <c r="D52" s="647"/>
      <c r="E52" s="647"/>
      <c r="F52" s="288"/>
      <c r="G52" s="764"/>
      <c r="H52" s="769"/>
      <c r="I52" s="769"/>
      <c r="J52" s="769"/>
      <c r="K52" s="769"/>
      <c r="L52" s="769"/>
      <c r="M52" s="769"/>
      <c r="N52" s="770"/>
      <c r="O52" s="770"/>
      <c r="P52" s="771"/>
    </row>
    <row r="53" spans="1:16" ht="32.25" customHeight="1">
      <c r="A53" s="25"/>
      <c r="B53" s="27"/>
      <c r="C53" s="24" t="s">
        <v>238</v>
      </c>
      <c r="D53" s="645">
        <v>0</v>
      </c>
      <c r="E53" s="645">
        <v>0</v>
      </c>
      <c r="F53" s="286">
        <f>D53-E53</f>
        <v>0</v>
      </c>
      <c r="G53" s="759"/>
      <c r="H53" s="773"/>
      <c r="I53" s="760"/>
      <c r="J53" s="766"/>
      <c r="K53" s="759"/>
      <c r="L53" s="773"/>
      <c r="M53" s="759"/>
      <c r="N53" s="1353"/>
      <c r="O53" s="1353"/>
      <c r="P53" s="1354"/>
    </row>
    <row r="54" spans="1:16" ht="32.25" customHeight="1">
      <c r="A54" s="25"/>
      <c r="B54" s="27"/>
      <c r="C54" s="28">
        <v>4122</v>
      </c>
      <c r="D54" s="647"/>
      <c r="E54" s="647"/>
      <c r="F54" s="288"/>
      <c r="G54" s="764"/>
      <c r="H54" s="769"/>
      <c r="I54" s="769"/>
      <c r="J54" s="769"/>
      <c r="K54" s="769"/>
      <c r="L54" s="769"/>
      <c r="M54" s="783"/>
      <c r="N54" s="784"/>
      <c r="O54" s="784"/>
      <c r="P54" s="785"/>
    </row>
    <row r="55" spans="1:16" ht="32.25" customHeight="1">
      <c r="A55" s="25"/>
      <c r="B55" s="27"/>
      <c r="C55" s="24" t="s">
        <v>239</v>
      </c>
      <c r="D55" s="645">
        <v>0</v>
      </c>
      <c r="E55" s="645">
        <v>0</v>
      </c>
      <c r="F55" s="286">
        <f>D55-E55</f>
        <v>0</v>
      </c>
      <c r="G55" s="778" t="s">
        <v>1179</v>
      </c>
      <c r="H55" s="756"/>
      <c r="I55" s="756"/>
      <c r="J55" s="756"/>
      <c r="K55" s="756"/>
      <c r="L55" s="756"/>
      <c r="M55" s="757"/>
      <c r="N55" s="1378"/>
      <c r="O55" s="1378"/>
      <c r="P55" s="1379"/>
    </row>
    <row r="56" spans="1:16" ht="27.75" customHeight="1">
      <c r="A56" s="25"/>
      <c r="B56" s="27"/>
      <c r="C56" s="27">
        <v>4123</v>
      </c>
      <c r="D56" s="646"/>
      <c r="E56" s="646"/>
      <c r="F56" s="287"/>
      <c r="G56" s="781"/>
      <c r="H56" s="774"/>
      <c r="I56" s="774"/>
      <c r="J56" s="774"/>
      <c r="K56" s="774"/>
      <c r="L56" s="774"/>
      <c r="M56" s="759"/>
      <c r="N56" s="761"/>
      <c r="O56" s="761"/>
      <c r="P56" s="762"/>
    </row>
    <row r="57" spans="1:16" ht="32.25" customHeight="1">
      <c r="A57" s="25"/>
      <c r="B57" s="27"/>
      <c r="C57" s="24" t="s">
        <v>240</v>
      </c>
      <c r="D57" s="645">
        <v>31734</v>
      </c>
      <c r="E57" s="645">
        <v>9840</v>
      </c>
      <c r="F57" s="286">
        <f>D57-E57</f>
        <v>21894</v>
      </c>
      <c r="G57" s="781" t="s">
        <v>1030</v>
      </c>
      <c r="H57" s="778"/>
      <c r="I57" s="768"/>
      <c r="J57" s="768"/>
      <c r="K57" s="756"/>
      <c r="L57" s="756"/>
      <c r="M57" s="778"/>
      <c r="N57" s="1378">
        <v>31734000</v>
      </c>
      <c r="O57" s="1378"/>
      <c r="P57" s="1379"/>
    </row>
    <row r="58" spans="1:16" ht="30" customHeight="1">
      <c r="A58" s="25"/>
      <c r="B58" s="27"/>
      <c r="C58" s="27">
        <v>4124</v>
      </c>
      <c r="D58" s="646"/>
      <c r="E58" s="646"/>
      <c r="F58" s="287"/>
      <c r="G58" s="776"/>
      <c r="H58" s="774"/>
      <c r="I58" s="774"/>
      <c r="J58" s="774"/>
      <c r="K58" s="774"/>
      <c r="L58" s="774"/>
      <c r="M58" s="774"/>
      <c r="N58" s="793"/>
      <c r="O58" s="793"/>
      <c r="P58" s="794"/>
    </row>
    <row r="59" spans="1:16" ht="30" customHeight="1">
      <c r="A59" s="25"/>
      <c r="B59" s="27"/>
      <c r="C59" s="32" t="s">
        <v>241</v>
      </c>
      <c r="D59" s="646">
        <v>415067</v>
      </c>
      <c r="E59" s="655">
        <v>426936</v>
      </c>
      <c r="F59" s="287">
        <f>D59-E59</f>
        <v>-11869</v>
      </c>
      <c r="G59" s="781" t="s">
        <v>103</v>
      </c>
      <c r="H59" s="759"/>
      <c r="I59" s="759"/>
      <c r="J59" s="773" t="s">
        <v>104</v>
      </c>
      <c r="K59" s="782" t="s">
        <v>105</v>
      </c>
      <c r="L59" s="1361">
        <v>13400000</v>
      </c>
      <c r="M59" s="1361"/>
      <c r="N59" s="1353">
        <f>L59*12</f>
        <v>160800000</v>
      </c>
      <c r="O59" s="1353"/>
      <c r="P59" s="1354"/>
    </row>
    <row r="60" spans="1:16" ht="30" customHeight="1">
      <c r="A60" s="25"/>
      <c r="B60" s="27"/>
      <c r="C60" s="27"/>
      <c r="D60" s="646"/>
      <c r="E60" s="646"/>
      <c r="F60" s="287"/>
      <c r="G60" s="759" t="s">
        <v>242</v>
      </c>
      <c r="H60" s="773"/>
      <c r="I60" s="759"/>
      <c r="J60" s="773" t="s">
        <v>104</v>
      </c>
      <c r="K60" s="782" t="s">
        <v>105</v>
      </c>
      <c r="L60" s="1361">
        <v>9080000</v>
      </c>
      <c r="M60" s="1361"/>
      <c r="N60" s="1353">
        <f>L60*12</f>
        <v>108960000</v>
      </c>
      <c r="O60" s="1353"/>
      <c r="P60" s="1354"/>
    </row>
    <row r="61" spans="1:16" ht="30" customHeight="1">
      <c r="A61" s="25"/>
      <c r="B61" s="27"/>
      <c r="C61" s="27"/>
      <c r="D61" s="646"/>
      <c r="E61" s="646"/>
      <c r="F61" s="287"/>
      <c r="G61" s="781" t="s">
        <v>106</v>
      </c>
      <c r="H61" s="773"/>
      <c r="I61" s="759"/>
      <c r="J61" s="773" t="s">
        <v>104</v>
      </c>
      <c r="K61" s="782" t="s">
        <v>105</v>
      </c>
      <c r="L61" s="1361">
        <v>9100000</v>
      </c>
      <c r="M61" s="1361"/>
      <c r="N61" s="1353">
        <f>L61*12</f>
        <v>109200000</v>
      </c>
      <c r="O61" s="1353"/>
      <c r="P61" s="1354"/>
    </row>
    <row r="62" spans="1:16" ht="30" customHeight="1">
      <c r="A62" s="25"/>
      <c r="B62" s="27"/>
      <c r="C62" s="27"/>
      <c r="D62" s="646"/>
      <c r="E62" s="646"/>
      <c r="F62" s="287"/>
      <c r="G62" s="759" t="s">
        <v>410</v>
      </c>
      <c r="H62" s="773"/>
      <c r="I62" s="759"/>
      <c r="J62" s="773" t="s">
        <v>104</v>
      </c>
      <c r="K62" s="782" t="s">
        <v>105</v>
      </c>
      <c r="L62" s="1361">
        <v>3008916</v>
      </c>
      <c r="M62" s="1361"/>
      <c r="N62" s="1353">
        <v>36107000</v>
      </c>
      <c r="O62" s="1353"/>
      <c r="P62" s="1354"/>
    </row>
    <row r="63" spans="1:16" ht="30" customHeight="1">
      <c r="A63" s="25"/>
      <c r="B63" s="27"/>
      <c r="C63" s="24"/>
      <c r="D63" s="645"/>
      <c r="E63" s="645"/>
      <c r="F63" s="286"/>
      <c r="G63" s="777" t="s">
        <v>44</v>
      </c>
      <c r="H63" s="778"/>
      <c r="I63" s="756"/>
      <c r="J63" s="756"/>
      <c r="K63" s="756"/>
      <c r="L63" s="768"/>
      <c r="M63" s="768" t="s">
        <v>3</v>
      </c>
      <c r="N63" s="1378">
        <f>SUM(N59:P62)</f>
        <v>415067000</v>
      </c>
      <c r="O63" s="1378"/>
      <c r="P63" s="1379"/>
    </row>
    <row r="64" spans="1:16" ht="30" customHeight="1">
      <c r="A64" s="25"/>
      <c r="B64" s="27"/>
      <c r="C64" s="27">
        <v>4125</v>
      </c>
      <c r="D64" s="646"/>
      <c r="E64" s="646"/>
      <c r="F64" s="287"/>
      <c r="G64" s="776"/>
      <c r="H64" s="774"/>
      <c r="I64" s="774"/>
      <c r="J64" s="774"/>
      <c r="K64" s="774"/>
      <c r="L64" s="774"/>
      <c r="M64" s="774"/>
      <c r="N64" s="793"/>
      <c r="O64" s="793"/>
      <c r="P64" s="794"/>
    </row>
    <row r="65" spans="1:16" ht="30" customHeight="1">
      <c r="A65" s="25"/>
      <c r="B65" s="27"/>
      <c r="C65" s="52" t="s">
        <v>536</v>
      </c>
      <c r="D65" s="646">
        <v>0</v>
      </c>
      <c r="E65" s="646">
        <v>0</v>
      </c>
      <c r="F65" s="287">
        <f>D65-E65</f>
        <v>0</v>
      </c>
      <c r="G65" s="781"/>
      <c r="H65" s="759"/>
      <c r="I65" s="759"/>
      <c r="J65" s="759"/>
      <c r="K65" s="759"/>
      <c r="L65" s="759"/>
      <c r="M65" s="759"/>
      <c r="N65" s="761"/>
      <c r="O65" s="761"/>
      <c r="P65" s="762"/>
    </row>
    <row r="66" spans="1:16" ht="30" customHeight="1">
      <c r="A66" s="25"/>
      <c r="B66" s="27"/>
      <c r="C66" s="24"/>
      <c r="D66" s="645"/>
      <c r="E66" s="645"/>
      <c r="F66" s="286"/>
      <c r="G66" s="756"/>
      <c r="H66" s="756"/>
      <c r="I66" s="756"/>
      <c r="J66" s="756"/>
      <c r="K66" s="756"/>
      <c r="L66" s="756"/>
      <c r="M66" s="756"/>
      <c r="N66" s="1378"/>
      <c r="O66" s="1378"/>
      <c r="P66" s="1379"/>
    </row>
    <row r="67" spans="1:16" ht="30" customHeight="1">
      <c r="A67" s="25"/>
      <c r="B67" s="27"/>
      <c r="C67" s="27">
        <v>4126</v>
      </c>
      <c r="D67" s="646"/>
      <c r="E67" s="646"/>
      <c r="F67" s="287"/>
      <c r="G67" s="776"/>
      <c r="H67" s="774"/>
      <c r="I67" s="774"/>
      <c r="J67" s="774"/>
      <c r="K67" s="774"/>
      <c r="L67" s="774"/>
      <c r="M67" s="774"/>
      <c r="N67" s="793"/>
      <c r="O67" s="793"/>
      <c r="P67" s="794"/>
    </row>
    <row r="68" spans="1:16" ht="30" customHeight="1">
      <c r="A68" s="25"/>
      <c r="B68" s="27"/>
      <c r="C68" s="27" t="s">
        <v>243</v>
      </c>
      <c r="D68" s="646">
        <v>0</v>
      </c>
      <c r="E68" s="646">
        <v>0</v>
      </c>
      <c r="F68" s="287">
        <f>D68-E68</f>
        <v>0</v>
      </c>
      <c r="G68" s="781"/>
      <c r="H68" s="759"/>
      <c r="I68" s="759"/>
      <c r="J68" s="759"/>
      <c r="K68" s="759"/>
      <c r="L68" s="759"/>
      <c r="M68" s="759"/>
      <c r="N68" s="761"/>
      <c r="O68" s="761"/>
      <c r="P68" s="762"/>
    </row>
    <row r="69" spans="1:16" ht="30" customHeight="1">
      <c r="A69" s="25"/>
      <c r="B69" s="27"/>
      <c r="C69" s="24"/>
      <c r="D69" s="645"/>
      <c r="E69" s="645"/>
      <c r="F69" s="286"/>
      <c r="G69" s="756"/>
      <c r="H69" s="756"/>
      <c r="I69" s="756"/>
      <c r="J69" s="756"/>
      <c r="K69" s="756"/>
      <c r="L69" s="756"/>
      <c r="M69" s="756"/>
      <c r="N69" s="1378"/>
      <c r="O69" s="1378"/>
      <c r="P69" s="1379"/>
    </row>
    <row r="70" spans="1:16" ht="30" customHeight="1">
      <c r="A70" s="25"/>
      <c r="B70" s="27"/>
      <c r="C70" s="27">
        <v>4127</v>
      </c>
      <c r="D70" s="646"/>
      <c r="E70" s="646"/>
      <c r="F70" s="287"/>
      <c r="G70" s="781"/>
      <c r="H70" s="759"/>
      <c r="I70" s="759"/>
      <c r="J70" s="759"/>
      <c r="K70" s="759"/>
      <c r="L70" s="759"/>
      <c r="M70" s="759"/>
      <c r="N70" s="761"/>
      <c r="O70" s="761"/>
      <c r="P70" s="762"/>
    </row>
    <row r="71" spans="1:16" ht="30" customHeight="1">
      <c r="A71" s="25"/>
      <c r="B71" s="27"/>
      <c r="C71" s="27" t="s">
        <v>244</v>
      </c>
      <c r="D71" s="646">
        <v>0</v>
      </c>
      <c r="E71" s="646">
        <v>0</v>
      </c>
      <c r="F71" s="287">
        <f>D71-E71</f>
        <v>0</v>
      </c>
      <c r="G71" s="781"/>
      <c r="H71" s="759"/>
      <c r="I71" s="759"/>
      <c r="J71" s="759"/>
      <c r="K71" s="759"/>
      <c r="L71" s="759"/>
      <c r="M71" s="759"/>
      <c r="N71" s="761"/>
      <c r="O71" s="761"/>
      <c r="P71" s="762"/>
    </row>
    <row r="72" spans="1:16" ht="30" customHeight="1">
      <c r="A72" s="25"/>
      <c r="B72" s="27"/>
      <c r="C72" s="27"/>
      <c r="D72" s="646"/>
      <c r="E72" s="646"/>
      <c r="F72" s="287"/>
      <c r="G72" s="781"/>
      <c r="H72" s="773"/>
      <c r="I72" s="759"/>
      <c r="J72" s="759"/>
      <c r="K72" s="759"/>
      <c r="L72" s="760"/>
      <c r="M72" s="760"/>
      <c r="N72" s="1351"/>
      <c r="O72" s="1351"/>
      <c r="P72" s="1352"/>
    </row>
    <row r="73" spans="1:16" ht="27" customHeight="1">
      <c r="A73" s="1073">
        <v>4200</v>
      </c>
      <c r="B73" s="1074"/>
      <c r="C73" s="1074"/>
      <c r="D73" s="1082"/>
      <c r="E73" s="1082"/>
      <c r="F73" s="1083"/>
      <c r="G73" s="1084"/>
      <c r="H73" s="1084"/>
      <c r="I73" s="1084"/>
      <c r="J73" s="1084"/>
      <c r="K73" s="1084"/>
      <c r="L73" s="1084"/>
      <c r="M73" s="1084"/>
      <c r="N73" s="1080"/>
      <c r="O73" s="1080"/>
      <c r="P73" s="1081"/>
    </row>
    <row r="74" spans="1:16" ht="30" customHeight="1">
      <c r="A74" s="25" t="s">
        <v>102</v>
      </c>
      <c r="C74" s="27"/>
      <c r="D74" s="646">
        <f>D76+D149+D242</f>
        <v>1657731</v>
      </c>
      <c r="E74" s="646">
        <f>E76+E149+E242</f>
        <v>2248170</v>
      </c>
      <c r="F74" s="286">
        <f>D74-E74</f>
        <v>-590439</v>
      </c>
      <c r="G74" s="759"/>
      <c r="H74" s="759"/>
      <c r="I74" s="759"/>
      <c r="J74" s="759"/>
      <c r="K74" s="759"/>
      <c r="L74" s="759"/>
      <c r="M74" s="759"/>
      <c r="N74" s="761"/>
      <c r="O74" s="761"/>
      <c r="P74" s="762"/>
    </row>
    <row r="75" spans="1:16" ht="30" customHeight="1">
      <c r="A75" s="94"/>
      <c r="B75" s="93">
        <v>4210</v>
      </c>
      <c r="C75" s="95"/>
      <c r="D75" s="647"/>
      <c r="E75" s="647"/>
      <c r="F75" s="288"/>
      <c r="G75" s="783"/>
      <c r="H75" s="783"/>
      <c r="I75" s="783"/>
      <c r="J75" s="783"/>
      <c r="K75" s="783"/>
      <c r="L75" s="783"/>
      <c r="M75" s="783"/>
      <c r="N75" s="784"/>
      <c r="O75" s="784"/>
      <c r="P75" s="785"/>
    </row>
    <row r="76" spans="1:16" ht="30" customHeight="1">
      <c r="A76" s="25"/>
      <c r="B76" s="27" t="s">
        <v>246</v>
      </c>
      <c r="C76" s="24"/>
      <c r="D76" s="645">
        <f>D78+D81+D94+D98+D102+D106+D116+D124</f>
        <v>531757</v>
      </c>
      <c r="E76" s="645">
        <f>E78+E81+E94+E98+E102+E106+E116+E124</f>
        <v>890475</v>
      </c>
      <c r="F76" s="286">
        <f>D76-E76</f>
        <v>-358718</v>
      </c>
      <c r="G76" s="756"/>
      <c r="H76" s="756"/>
      <c r="I76" s="756"/>
      <c r="J76" s="756"/>
      <c r="K76" s="756"/>
      <c r="L76" s="756"/>
      <c r="M76" s="756"/>
      <c r="N76" s="757"/>
      <c r="O76" s="757"/>
      <c r="P76" s="758"/>
    </row>
    <row r="77" spans="1:16" ht="30" customHeight="1">
      <c r="A77" s="25"/>
      <c r="B77" s="27"/>
      <c r="C77" s="27">
        <v>4211</v>
      </c>
      <c r="D77" s="646"/>
      <c r="E77" s="646"/>
      <c r="F77" s="287"/>
      <c r="G77" s="773" t="s">
        <v>6</v>
      </c>
      <c r="H77" s="773"/>
      <c r="I77" s="773"/>
      <c r="J77" s="773"/>
      <c r="K77" s="773"/>
      <c r="L77" s="773"/>
      <c r="M77" s="773"/>
      <c r="N77" s="1351" t="s">
        <v>3</v>
      </c>
      <c r="O77" s="1351"/>
      <c r="P77" s="1352"/>
    </row>
    <row r="78" spans="1:16" ht="30" customHeight="1">
      <c r="A78" s="25"/>
      <c r="B78" s="27"/>
      <c r="C78" s="32" t="s">
        <v>247</v>
      </c>
      <c r="D78" s="646">
        <v>1397</v>
      </c>
      <c r="E78" s="655">
        <v>300000</v>
      </c>
      <c r="F78" s="287">
        <f>D78-E78</f>
        <v>-298603</v>
      </c>
      <c r="G78" s="1368" t="s">
        <v>66</v>
      </c>
      <c r="H78" s="1369"/>
      <c r="I78" s="1369"/>
      <c r="J78" s="1369"/>
      <c r="K78" s="1369"/>
      <c r="L78" s="1369"/>
      <c r="M78" s="1369"/>
      <c r="N78" s="1353">
        <v>1397000</v>
      </c>
      <c r="O78" s="1353"/>
      <c r="P78" s="1354"/>
    </row>
    <row r="79" spans="1:16" ht="30" customHeight="1">
      <c r="A79" s="25"/>
      <c r="B79" s="27"/>
      <c r="C79" s="27"/>
      <c r="D79" s="646"/>
      <c r="E79" s="646"/>
      <c r="F79" s="287"/>
      <c r="G79" s="759" t="s">
        <v>44</v>
      </c>
      <c r="H79" s="759"/>
      <c r="I79" s="759"/>
      <c r="J79" s="759"/>
      <c r="K79" s="759"/>
      <c r="L79" s="756"/>
      <c r="M79" s="756"/>
      <c r="N79" s="1375">
        <f>SUM(N76:P78)</f>
        <v>1397000</v>
      </c>
      <c r="O79" s="1375"/>
      <c r="P79" s="1376"/>
    </row>
    <row r="80" spans="1:16" ht="30" customHeight="1">
      <c r="A80" s="25"/>
      <c r="B80" s="27"/>
      <c r="C80" s="28">
        <v>4212</v>
      </c>
      <c r="D80" s="647"/>
      <c r="E80" s="647"/>
      <c r="F80" s="288"/>
      <c r="G80" s="763"/>
      <c r="H80" s="769"/>
      <c r="I80" s="769"/>
      <c r="J80" s="769"/>
      <c r="K80" s="769"/>
      <c r="L80" s="769"/>
      <c r="M80" s="769"/>
      <c r="N80" s="798"/>
      <c r="O80" s="798"/>
      <c r="P80" s="799"/>
    </row>
    <row r="81" spans="1:16" ht="30" customHeight="1">
      <c r="A81" s="25"/>
      <c r="B81" s="27"/>
      <c r="C81" s="32" t="s">
        <v>248</v>
      </c>
      <c r="D81" s="646">
        <v>34917</v>
      </c>
      <c r="E81" s="655">
        <f>10000+35000</f>
        <v>45000</v>
      </c>
      <c r="F81" s="287">
        <f>D81-E81</f>
        <v>-10083</v>
      </c>
      <c r="G81" s="781" t="s">
        <v>337</v>
      </c>
      <c r="H81" s="759"/>
      <c r="I81" s="759"/>
      <c r="J81" s="759"/>
      <c r="K81" s="759"/>
      <c r="L81" s="759"/>
      <c r="M81" s="759"/>
      <c r="N81" s="1351" t="s">
        <v>3</v>
      </c>
      <c r="O81" s="1351"/>
      <c r="P81" s="1352"/>
    </row>
    <row r="82" spans="1:16" ht="30" customHeight="1">
      <c r="A82" s="25"/>
      <c r="B82" s="27"/>
      <c r="C82" s="27"/>
      <c r="D82" s="646"/>
      <c r="E82" s="646"/>
      <c r="F82" s="287"/>
      <c r="G82" s="781" t="s">
        <v>1008</v>
      </c>
      <c r="H82" s="1044"/>
      <c r="I82" s="1044"/>
      <c r="J82" s="1044"/>
      <c r="K82" s="1044"/>
      <c r="L82" s="1044"/>
      <c r="M82" s="1044"/>
      <c r="N82" s="1353">
        <v>10000000</v>
      </c>
      <c r="O82" s="1353"/>
      <c r="P82" s="1354"/>
    </row>
    <row r="83" spans="1:16" ht="30" customHeight="1" hidden="1">
      <c r="A83" s="25"/>
      <c r="B83" s="27"/>
      <c r="C83" s="27"/>
      <c r="D83" s="646"/>
      <c r="E83" s="646"/>
      <c r="F83" s="287"/>
      <c r="G83" s="781"/>
      <c r="H83" s="1044"/>
      <c r="I83" s="1044"/>
      <c r="J83" s="1044"/>
      <c r="K83" s="1044"/>
      <c r="L83" s="1044"/>
      <c r="M83" s="1044"/>
      <c r="N83" s="1353"/>
      <c r="O83" s="1353"/>
      <c r="P83" s="1354"/>
    </row>
    <row r="84" spans="1:16" ht="30" customHeight="1" hidden="1">
      <c r="A84" s="34"/>
      <c r="B84" s="27"/>
      <c r="C84" s="27"/>
      <c r="D84" s="646"/>
      <c r="E84" s="646"/>
      <c r="F84" s="287"/>
      <c r="G84" s="781"/>
      <c r="H84" s="1044"/>
      <c r="I84" s="1044"/>
      <c r="J84" s="1044"/>
      <c r="K84" s="1044"/>
      <c r="L84" s="1044"/>
      <c r="M84" s="1044"/>
      <c r="N84" s="1353"/>
      <c r="O84" s="1353"/>
      <c r="P84" s="1354"/>
    </row>
    <row r="85" spans="1:16" ht="30" customHeight="1" hidden="1">
      <c r="A85" s="34"/>
      <c r="B85" s="27"/>
      <c r="C85" s="27"/>
      <c r="D85" s="646"/>
      <c r="E85" s="646"/>
      <c r="F85" s="287"/>
      <c r="G85" s="781"/>
      <c r="H85" s="1044"/>
      <c r="I85" s="1044"/>
      <c r="J85" s="1044"/>
      <c r="K85" s="1044"/>
      <c r="L85" s="1044"/>
      <c r="M85" s="1044"/>
      <c r="N85" s="1353"/>
      <c r="O85" s="1353"/>
      <c r="P85" s="1354"/>
    </row>
    <row r="86" spans="1:16" ht="30" customHeight="1" hidden="1">
      <c r="A86" s="34"/>
      <c r="B86" s="27"/>
      <c r="C86" s="27"/>
      <c r="D86" s="646"/>
      <c r="E86" s="646"/>
      <c r="F86" s="287"/>
      <c r="G86" s="781"/>
      <c r="H86" s="1044"/>
      <c r="I86" s="1044"/>
      <c r="J86" s="1044"/>
      <c r="K86" s="1044"/>
      <c r="L86" s="1044"/>
      <c r="M86" s="1044"/>
      <c r="N86" s="761"/>
      <c r="O86" s="1351"/>
      <c r="P86" s="1352"/>
    </row>
    <row r="87" spans="1:16" ht="30" customHeight="1">
      <c r="A87" s="34"/>
      <c r="B87" s="27"/>
      <c r="C87" s="27"/>
      <c r="D87" s="646"/>
      <c r="E87" s="646"/>
      <c r="F87" s="287"/>
      <c r="G87" s="781" t="s">
        <v>359</v>
      </c>
      <c r="H87" s="1044"/>
      <c r="I87" s="1044"/>
      <c r="J87" s="1044"/>
      <c r="K87" s="1044"/>
      <c r="L87" s="1044"/>
      <c r="M87" s="1044"/>
      <c r="N87" s="1353">
        <f>SUM(N82:P86)</f>
        <v>10000000</v>
      </c>
      <c r="O87" s="1353"/>
      <c r="P87" s="1354"/>
    </row>
    <row r="88" spans="1:16" ht="23.25" customHeight="1">
      <c r="A88" s="34"/>
      <c r="B88" s="27"/>
      <c r="C88" s="27"/>
      <c r="D88" s="646"/>
      <c r="E88" s="646"/>
      <c r="F88" s="287"/>
      <c r="G88" s="781" t="s">
        <v>6</v>
      </c>
      <c r="H88" s="1044"/>
      <c r="I88" s="1044"/>
      <c r="J88" s="1044"/>
      <c r="K88" s="1044"/>
      <c r="L88" s="1044"/>
      <c r="M88" s="1044"/>
      <c r="N88" s="1351" t="s">
        <v>3</v>
      </c>
      <c r="O88" s="1351"/>
      <c r="P88" s="1352"/>
    </row>
    <row r="89" spans="1:16" ht="30" customHeight="1">
      <c r="A89" s="34"/>
      <c r="B89" s="27"/>
      <c r="C89" s="27"/>
      <c r="D89" s="646"/>
      <c r="E89" s="646"/>
      <c r="F89" s="287"/>
      <c r="G89" s="796" t="s">
        <v>1031</v>
      </c>
      <c r="H89" s="773"/>
      <c r="I89" s="796"/>
      <c r="J89" s="796"/>
      <c r="K89" s="796"/>
      <c r="L89" s="796"/>
      <c r="M89" s="796"/>
      <c r="N89" s="761"/>
      <c r="O89" s="761"/>
      <c r="P89" s="762">
        <v>10000000</v>
      </c>
    </row>
    <row r="90" spans="1:16" ht="30" customHeight="1">
      <c r="A90" s="34"/>
      <c r="B90" s="27"/>
      <c r="C90" s="27"/>
      <c r="D90" s="646"/>
      <c r="E90" s="646"/>
      <c r="F90" s="287"/>
      <c r="G90" s="796" t="s">
        <v>357</v>
      </c>
      <c r="I90" s="796"/>
      <c r="J90" s="796"/>
      <c r="K90" s="796"/>
      <c r="L90" s="796"/>
      <c r="M90" s="796"/>
      <c r="N90" s="1353">
        <v>14917000</v>
      </c>
      <c r="O90" s="1353"/>
      <c r="P90" s="1354"/>
    </row>
    <row r="91" spans="1:16" ht="30" customHeight="1">
      <c r="A91" s="34"/>
      <c r="B91" s="27"/>
      <c r="C91" s="27"/>
      <c r="D91" s="646"/>
      <c r="E91" s="646"/>
      <c r="F91" s="287"/>
      <c r="G91" s="759" t="s">
        <v>361</v>
      </c>
      <c r="H91" s="773"/>
      <c r="I91" s="796"/>
      <c r="J91" s="796"/>
      <c r="K91" s="796"/>
      <c r="L91" s="796"/>
      <c r="M91" s="796"/>
      <c r="N91" s="761"/>
      <c r="O91" s="761"/>
      <c r="P91" s="762">
        <f>SUM(N89:P90)</f>
        <v>24917000</v>
      </c>
    </row>
    <row r="92" spans="1:16" ht="30" customHeight="1">
      <c r="A92" s="34"/>
      <c r="B92" s="27"/>
      <c r="C92" s="306"/>
      <c r="D92" s="650"/>
      <c r="E92" s="650"/>
      <c r="F92" s="294"/>
      <c r="G92" s="791" t="s">
        <v>77</v>
      </c>
      <c r="H92" s="791"/>
      <c r="I92" s="791"/>
      <c r="J92" s="791"/>
      <c r="K92" s="791"/>
      <c r="L92" s="791"/>
      <c r="M92" s="791"/>
      <c r="N92" s="1375">
        <f>SUM(N87+P91)</f>
        <v>34917000</v>
      </c>
      <c r="O92" s="1375"/>
      <c r="P92" s="1376"/>
    </row>
    <row r="93" spans="1:16" ht="21.75" customHeight="1">
      <c r="A93" s="25"/>
      <c r="B93" s="27"/>
      <c r="C93" s="27">
        <v>4213</v>
      </c>
      <c r="D93" s="646"/>
      <c r="E93" s="646"/>
      <c r="F93" s="287"/>
      <c r="G93" s="776"/>
      <c r="H93" s="774"/>
      <c r="I93" s="774"/>
      <c r="J93" s="774"/>
      <c r="K93" s="774"/>
      <c r="L93" s="774"/>
      <c r="M93" s="774"/>
      <c r="N93" s="793"/>
      <c r="O93" s="793"/>
      <c r="P93" s="794"/>
    </row>
    <row r="94" spans="1:16" ht="30" customHeight="1">
      <c r="A94" s="25"/>
      <c r="B94" s="27"/>
      <c r="C94" s="27" t="s">
        <v>250</v>
      </c>
      <c r="D94" s="646">
        <v>1591</v>
      </c>
      <c r="E94" s="646">
        <v>10000</v>
      </c>
      <c r="F94" s="287">
        <f>D94-E94</f>
        <v>-8409</v>
      </c>
      <c r="G94" s="759" t="s">
        <v>6</v>
      </c>
      <c r="H94" s="759"/>
      <c r="I94" s="759"/>
      <c r="J94" s="759"/>
      <c r="K94" s="759"/>
      <c r="L94" s="759"/>
      <c r="M94" s="759"/>
      <c r="N94" s="1351" t="s">
        <v>3</v>
      </c>
      <c r="O94" s="1351"/>
      <c r="P94" s="1352"/>
    </row>
    <row r="95" spans="1:16" ht="30" customHeight="1">
      <c r="A95" s="25"/>
      <c r="B95" s="27"/>
      <c r="C95" s="27"/>
      <c r="D95" s="646"/>
      <c r="E95" s="646"/>
      <c r="F95" s="287"/>
      <c r="G95" s="759" t="s">
        <v>969</v>
      </c>
      <c r="H95" s="773"/>
      <c r="I95" s="796"/>
      <c r="J95" s="796"/>
      <c r="K95" s="796"/>
      <c r="L95" s="796"/>
      <c r="M95" s="796"/>
      <c r="N95" s="1353">
        <v>1591000</v>
      </c>
      <c r="O95" s="1353"/>
      <c r="P95" s="1354"/>
    </row>
    <row r="96" spans="1:16" ht="30" customHeight="1">
      <c r="A96" s="25"/>
      <c r="B96" s="27"/>
      <c r="C96" s="27"/>
      <c r="D96" s="646"/>
      <c r="E96" s="646"/>
      <c r="F96" s="287"/>
      <c r="G96" s="781" t="s">
        <v>44</v>
      </c>
      <c r="H96" s="759"/>
      <c r="I96" s="796"/>
      <c r="J96" s="796"/>
      <c r="K96" s="796"/>
      <c r="L96" s="759"/>
      <c r="M96" s="759"/>
      <c r="N96" s="1353">
        <f>SUM(N95:P95)</f>
        <v>1591000</v>
      </c>
      <c r="O96" s="1353"/>
      <c r="P96" s="1354"/>
    </row>
    <row r="97" spans="1:16" ht="25.5" customHeight="1">
      <c r="A97" s="25"/>
      <c r="B97" s="27"/>
      <c r="C97" s="28">
        <v>4214</v>
      </c>
      <c r="D97" s="647"/>
      <c r="E97" s="647"/>
      <c r="F97" s="288"/>
      <c r="G97" s="764"/>
      <c r="H97" s="769"/>
      <c r="I97" s="769"/>
      <c r="J97" s="769"/>
      <c r="K97" s="769"/>
      <c r="L97" s="769"/>
      <c r="M97" s="769"/>
      <c r="N97" s="798"/>
      <c r="O97" s="798"/>
      <c r="P97" s="799"/>
    </row>
    <row r="98" spans="1:16" ht="30" customHeight="1">
      <c r="A98" s="25"/>
      <c r="B98" s="27"/>
      <c r="C98" s="32" t="s">
        <v>251</v>
      </c>
      <c r="D98" s="646">
        <v>0</v>
      </c>
      <c r="E98" s="646">
        <v>0</v>
      </c>
      <c r="F98" s="287">
        <f>D98-E98</f>
        <v>0</v>
      </c>
      <c r="G98" s="776"/>
      <c r="H98" s="773"/>
      <c r="I98" s="773"/>
      <c r="J98" s="773"/>
      <c r="K98" s="773"/>
      <c r="L98" s="773"/>
      <c r="M98" s="773"/>
      <c r="N98" s="761"/>
      <c r="O98" s="761"/>
      <c r="P98" s="762"/>
    </row>
    <row r="99" spans="1:16" ht="27" customHeight="1">
      <c r="A99" s="25"/>
      <c r="B99" s="27"/>
      <c r="C99" s="27"/>
      <c r="D99" s="646"/>
      <c r="E99" s="646"/>
      <c r="F99" s="287"/>
      <c r="G99" s="759"/>
      <c r="H99" s="773"/>
      <c r="I99" s="796"/>
      <c r="J99" s="796"/>
      <c r="K99" s="796"/>
      <c r="L99" s="796"/>
      <c r="M99" s="796"/>
      <c r="N99" s="1353"/>
      <c r="O99" s="1353"/>
      <c r="P99" s="1354"/>
    </row>
    <row r="100" spans="1:16" ht="27" customHeight="1">
      <c r="A100" s="25"/>
      <c r="B100" s="27"/>
      <c r="C100" s="27"/>
      <c r="D100" s="646"/>
      <c r="E100" s="646"/>
      <c r="F100" s="287"/>
      <c r="G100" s="777"/>
      <c r="H100" s="759"/>
      <c r="I100" s="796"/>
      <c r="J100" s="796"/>
      <c r="K100" s="796"/>
      <c r="L100" s="759"/>
      <c r="M100" s="759"/>
      <c r="N100" s="1353">
        <f>SUM(N99:P99)</f>
        <v>0</v>
      </c>
      <c r="O100" s="1353"/>
      <c r="P100" s="1354"/>
    </row>
    <row r="101" spans="1:16" ht="23.25" customHeight="1">
      <c r="A101" s="25"/>
      <c r="B101" s="27"/>
      <c r="C101" s="28">
        <v>4215</v>
      </c>
      <c r="D101" s="647"/>
      <c r="E101" s="647"/>
      <c r="F101" s="288"/>
      <c r="G101" s="781" t="s">
        <v>6</v>
      </c>
      <c r="H101" s="769"/>
      <c r="I101" s="769"/>
      <c r="J101" s="769"/>
      <c r="K101" s="769"/>
      <c r="L101" s="769"/>
      <c r="M101" s="769"/>
      <c r="N101" s="798"/>
      <c r="O101" s="798"/>
      <c r="P101" s="799"/>
    </row>
    <row r="102" spans="1:16" ht="30" customHeight="1">
      <c r="A102" s="25"/>
      <c r="B102" s="27"/>
      <c r="C102" s="27" t="s">
        <v>252</v>
      </c>
      <c r="D102" s="646">
        <v>410991</v>
      </c>
      <c r="E102" s="655">
        <v>379000</v>
      </c>
      <c r="F102" s="287">
        <f>D102-E102</f>
        <v>31991</v>
      </c>
      <c r="G102" s="1046" t="s">
        <v>1354</v>
      </c>
      <c r="I102" s="1046"/>
      <c r="J102" s="1046"/>
      <c r="K102" s="1046"/>
      <c r="L102" s="1046"/>
      <c r="M102" s="1046"/>
      <c r="N102" s="1353">
        <v>40991000</v>
      </c>
      <c r="O102" s="1353"/>
      <c r="P102" s="1354"/>
    </row>
    <row r="103" spans="1:16" ht="30" customHeight="1">
      <c r="A103" s="25"/>
      <c r="B103" s="27"/>
      <c r="C103" s="27"/>
      <c r="D103" s="646"/>
      <c r="E103" s="646"/>
      <c r="F103" s="287"/>
      <c r="G103" s="1366" t="s">
        <v>1355</v>
      </c>
      <c r="H103" s="1370"/>
      <c r="I103" s="1370"/>
      <c r="J103" s="1370"/>
      <c r="K103" s="1370"/>
      <c r="L103" s="1370"/>
      <c r="M103" s="1046"/>
      <c r="N103" s="1353">
        <v>370000000</v>
      </c>
      <c r="O103" s="1353"/>
      <c r="P103" s="1354"/>
    </row>
    <row r="104" spans="1:16" ht="30" customHeight="1">
      <c r="A104" s="25"/>
      <c r="B104" s="27"/>
      <c r="C104" s="27"/>
      <c r="D104" s="646"/>
      <c r="E104" s="646"/>
      <c r="F104" s="287"/>
      <c r="G104" s="759" t="s">
        <v>360</v>
      </c>
      <c r="H104" s="1048"/>
      <c r="I104" s="1048"/>
      <c r="J104" s="1048"/>
      <c r="K104" s="1048"/>
      <c r="L104" s="1048"/>
      <c r="M104" s="1046"/>
      <c r="N104" s="761"/>
      <c r="O104" s="761"/>
      <c r="P104" s="762">
        <f>SUM(N99:P103)</f>
        <v>410991000</v>
      </c>
    </row>
    <row r="105" spans="1:16" ht="34.5" customHeight="1">
      <c r="A105" s="25"/>
      <c r="B105" s="27"/>
      <c r="C105" s="28">
        <v>4216</v>
      </c>
      <c r="D105" s="647"/>
      <c r="E105" s="647"/>
      <c r="F105" s="288"/>
      <c r="G105" s="763"/>
      <c r="H105" s="769"/>
      <c r="I105" s="769"/>
      <c r="J105" s="769"/>
      <c r="K105" s="769"/>
      <c r="L105" s="769"/>
      <c r="M105" s="769"/>
      <c r="N105" s="798"/>
      <c r="O105" s="798"/>
      <c r="P105" s="799"/>
    </row>
    <row r="106" spans="1:16" ht="34.5" customHeight="1">
      <c r="A106" s="25"/>
      <c r="B106" s="27"/>
      <c r="C106" s="27" t="s">
        <v>253</v>
      </c>
      <c r="D106" s="646">
        <v>4107</v>
      </c>
      <c r="E106" s="655">
        <f>1000+7000</f>
        <v>8000</v>
      </c>
      <c r="F106" s="287">
        <f>D106-E106</f>
        <v>-3893</v>
      </c>
      <c r="G106" s="759" t="s">
        <v>337</v>
      </c>
      <c r="H106" s="759"/>
      <c r="I106" s="759"/>
      <c r="J106" s="759"/>
      <c r="K106" s="759"/>
      <c r="L106" s="759"/>
      <c r="M106" s="760"/>
      <c r="N106" s="1351" t="s">
        <v>3</v>
      </c>
      <c r="O106" s="1351"/>
      <c r="P106" s="1352"/>
    </row>
    <row r="107" spans="1:16" ht="34.5" customHeight="1">
      <c r="A107" s="25"/>
      <c r="B107" s="27"/>
      <c r="C107" s="27"/>
      <c r="D107" s="646"/>
      <c r="E107" s="646"/>
      <c r="F107" s="287"/>
      <c r="G107" s="1050" t="s">
        <v>1009</v>
      </c>
      <c r="H107" s="773"/>
      <c r="I107" s="773"/>
      <c r="J107" s="773"/>
      <c r="K107" s="773"/>
      <c r="L107" s="773"/>
      <c r="M107" s="773"/>
      <c r="N107" s="1056"/>
      <c r="O107" s="1056"/>
      <c r="P107" s="1064">
        <v>1000000</v>
      </c>
    </row>
    <row r="108" spans="1:16" ht="34.5" customHeight="1" hidden="1">
      <c r="A108" s="25"/>
      <c r="B108" s="27"/>
      <c r="C108" s="27"/>
      <c r="D108" s="646"/>
      <c r="E108" s="646"/>
      <c r="F108" s="287"/>
      <c r="G108" s="781"/>
      <c r="H108" s="796"/>
      <c r="I108" s="759"/>
      <c r="J108" s="759"/>
      <c r="K108" s="759"/>
      <c r="L108" s="759"/>
      <c r="M108" s="760"/>
      <c r="N108" s="1353"/>
      <c r="O108" s="1353"/>
      <c r="P108" s="1354"/>
    </row>
    <row r="109" spans="1:16" ht="34.5" customHeight="1">
      <c r="A109" s="25"/>
      <c r="B109" s="27"/>
      <c r="C109" s="27"/>
      <c r="D109" s="646"/>
      <c r="E109" s="646"/>
      <c r="F109" s="287"/>
      <c r="G109" s="781" t="s">
        <v>654</v>
      </c>
      <c r="H109" s="796"/>
      <c r="I109" s="759"/>
      <c r="J109" s="759"/>
      <c r="K109" s="759"/>
      <c r="L109" s="759"/>
      <c r="M109" s="760"/>
      <c r="N109" s="1353">
        <f>SUM(N107:P108)</f>
        <v>1000000</v>
      </c>
      <c r="O109" s="1353"/>
      <c r="P109" s="1354"/>
    </row>
    <row r="110" spans="1:16" ht="30" customHeight="1">
      <c r="A110" s="25"/>
      <c r="B110" s="27"/>
      <c r="C110" s="27"/>
      <c r="D110" s="646"/>
      <c r="E110" s="646"/>
      <c r="F110" s="287"/>
      <c r="G110" s="781" t="s">
        <v>6</v>
      </c>
      <c r="H110" s="796"/>
      <c r="I110" s="759"/>
      <c r="J110" s="759"/>
      <c r="K110" s="759"/>
      <c r="L110" s="759"/>
      <c r="M110" s="760"/>
      <c r="N110" s="1351" t="s">
        <v>3</v>
      </c>
      <c r="O110" s="1351"/>
      <c r="P110" s="1352"/>
    </row>
    <row r="111" spans="1:16" ht="30" customHeight="1">
      <c r="A111" s="25"/>
      <c r="B111" s="27"/>
      <c r="C111" s="27"/>
      <c r="D111" s="646"/>
      <c r="E111" s="646"/>
      <c r="F111" s="287"/>
      <c r="G111" s="796" t="s">
        <v>1032</v>
      </c>
      <c r="I111" s="759"/>
      <c r="J111" s="759"/>
      <c r="K111" s="759"/>
      <c r="L111" s="759"/>
      <c r="M111" s="760"/>
      <c r="N111" s="1351">
        <v>1000000</v>
      </c>
      <c r="O111" s="1351"/>
      <c r="P111" s="1352"/>
    </row>
    <row r="112" spans="1:16" ht="30" customHeight="1">
      <c r="A112" s="25"/>
      <c r="B112" s="27"/>
      <c r="C112" s="27"/>
      <c r="D112" s="646"/>
      <c r="E112" s="646"/>
      <c r="F112" s="287"/>
      <c r="G112" s="796" t="s">
        <v>78</v>
      </c>
      <c r="H112" s="773"/>
      <c r="I112" s="759"/>
      <c r="J112" s="759"/>
      <c r="K112" s="759"/>
      <c r="L112" s="759"/>
      <c r="M112" s="759"/>
      <c r="N112" s="1351">
        <v>2107000</v>
      </c>
      <c r="O112" s="1351"/>
      <c r="P112" s="1352"/>
    </row>
    <row r="113" spans="1:16" ht="30" customHeight="1">
      <c r="A113" s="25"/>
      <c r="B113" s="27"/>
      <c r="C113" s="27"/>
      <c r="D113" s="646"/>
      <c r="E113" s="646"/>
      <c r="F113" s="287"/>
      <c r="G113" s="796" t="s">
        <v>374</v>
      </c>
      <c r="H113" s="773"/>
      <c r="I113" s="759"/>
      <c r="J113" s="759"/>
      <c r="K113" s="759"/>
      <c r="L113" s="759"/>
      <c r="M113" s="759"/>
      <c r="N113" s="760"/>
      <c r="O113" s="760"/>
      <c r="P113" s="788">
        <f>SUM(N111:P112)</f>
        <v>3107000</v>
      </c>
    </row>
    <row r="114" spans="1:16" ht="30" customHeight="1">
      <c r="A114" s="25"/>
      <c r="B114" s="27"/>
      <c r="C114" s="27"/>
      <c r="D114" s="646"/>
      <c r="E114" s="646"/>
      <c r="F114" s="287"/>
      <c r="G114" s="759" t="s">
        <v>44</v>
      </c>
      <c r="H114" s="759"/>
      <c r="I114" s="759"/>
      <c r="J114" s="759"/>
      <c r="K114" s="759"/>
      <c r="L114" s="759"/>
      <c r="M114" s="768"/>
      <c r="N114" s="1411">
        <f>SUM(N109+P113)</f>
        <v>4107000</v>
      </c>
      <c r="O114" s="1411"/>
      <c r="P114" s="1412"/>
    </row>
    <row r="115" spans="1:16" ht="30" customHeight="1">
      <c r="A115" s="25"/>
      <c r="B115" s="27"/>
      <c r="C115" s="28">
        <v>4217</v>
      </c>
      <c r="D115" s="647"/>
      <c r="E115" s="647"/>
      <c r="F115" s="288"/>
      <c r="G115" s="763"/>
      <c r="H115" s="769"/>
      <c r="I115" s="769"/>
      <c r="J115" s="769"/>
      <c r="K115" s="769"/>
      <c r="L115" s="769"/>
      <c r="M115" s="769"/>
      <c r="N115" s="798"/>
      <c r="O115" s="798"/>
      <c r="P115" s="799"/>
    </row>
    <row r="116" spans="1:16" ht="24" customHeight="1">
      <c r="A116" s="25"/>
      <c r="B116" s="27"/>
      <c r="C116" s="27" t="s">
        <v>254</v>
      </c>
      <c r="D116" s="646">
        <v>21275</v>
      </c>
      <c r="E116" s="655">
        <f>3000+23475</f>
        <v>26475</v>
      </c>
      <c r="F116" s="287">
        <f>D116-E116</f>
        <v>-5200</v>
      </c>
      <c r="G116" s="781" t="s">
        <v>337</v>
      </c>
      <c r="H116" s="759"/>
      <c r="I116" s="759"/>
      <c r="J116" s="759"/>
      <c r="K116" s="759"/>
      <c r="L116" s="759"/>
      <c r="M116" s="760"/>
      <c r="N116" s="1351" t="s">
        <v>3</v>
      </c>
      <c r="O116" s="1351"/>
      <c r="P116" s="1352"/>
    </row>
    <row r="117" spans="1:16" ht="24" customHeight="1">
      <c r="A117" s="25"/>
      <c r="B117" s="27"/>
      <c r="C117" s="27"/>
      <c r="D117" s="646"/>
      <c r="E117" s="646"/>
      <c r="F117" s="287"/>
      <c r="G117" s="759" t="s">
        <v>897</v>
      </c>
      <c r="H117" s="796"/>
      <c r="I117" s="759"/>
      <c r="J117" s="759"/>
      <c r="K117" s="759"/>
      <c r="L117" s="1369"/>
      <c r="M117" s="1369"/>
      <c r="N117" s="1391">
        <v>3000000</v>
      </c>
      <c r="O117" s="1391"/>
      <c r="P117" s="1392"/>
    </row>
    <row r="118" spans="1:16" ht="24" customHeight="1">
      <c r="A118" s="25"/>
      <c r="B118" s="27"/>
      <c r="C118" s="27"/>
      <c r="D118" s="646"/>
      <c r="E118" s="646"/>
      <c r="F118" s="287"/>
      <c r="G118" s="781" t="s">
        <v>360</v>
      </c>
      <c r="H118" s="796"/>
      <c r="I118" s="759"/>
      <c r="J118" s="759"/>
      <c r="K118" s="759"/>
      <c r="L118" s="766"/>
      <c r="N118" s="1391">
        <f>SUM(N117)</f>
        <v>3000000</v>
      </c>
      <c r="O118" s="1391"/>
      <c r="P118" s="1392"/>
    </row>
    <row r="119" spans="1:16" ht="25.5" customHeight="1">
      <c r="A119" s="25"/>
      <c r="B119" s="27"/>
      <c r="C119" s="27"/>
      <c r="D119" s="646"/>
      <c r="E119" s="646"/>
      <c r="F119" s="287"/>
      <c r="G119" s="781" t="s">
        <v>6</v>
      </c>
      <c r="H119" s="759"/>
      <c r="I119" s="759"/>
      <c r="J119" s="759"/>
      <c r="K119" s="759"/>
      <c r="L119" s="759"/>
      <c r="M119" s="760"/>
      <c r="N119" s="1351" t="s">
        <v>3</v>
      </c>
      <c r="O119" s="1351"/>
      <c r="P119" s="1352"/>
    </row>
    <row r="120" spans="1:16" ht="25.5" customHeight="1">
      <c r="A120" s="25"/>
      <c r="B120" s="27"/>
      <c r="C120" s="27"/>
      <c r="D120" s="646"/>
      <c r="E120" s="646"/>
      <c r="F120" s="287"/>
      <c r="G120" s="759" t="s">
        <v>1356</v>
      </c>
      <c r="H120" s="759"/>
      <c r="I120" s="759"/>
      <c r="J120" s="759"/>
      <c r="K120" s="759"/>
      <c r="L120" s="759"/>
      <c r="M120" s="760"/>
      <c r="N120" s="760"/>
      <c r="O120" s="760"/>
      <c r="P120" s="1053">
        <v>18475000</v>
      </c>
    </row>
    <row r="121" spans="1:16" ht="30" customHeight="1">
      <c r="A121" s="25"/>
      <c r="B121" s="27"/>
      <c r="C121" s="27"/>
      <c r="D121" s="646"/>
      <c r="E121" s="646"/>
      <c r="F121" s="287"/>
      <c r="G121" s="759" t="s">
        <v>360</v>
      </c>
      <c r="H121" s="796"/>
      <c r="I121" s="759"/>
      <c r="J121" s="759"/>
      <c r="K121" s="759"/>
      <c r="L121" s="766"/>
      <c r="M121" s="766"/>
      <c r="N121" s="1052"/>
      <c r="O121" s="1052"/>
      <c r="P121" s="1053">
        <f>SUM(P120:P120)</f>
        <v>18475000</v>
      </c>
    </row>
    <row r="122" spans="1:16" ht="30" customHeight="1">
      <c r="A122" s="25"/>
      <c r="B122" s="27"/>
      <c r="C122" s="24"/>
      <c r="D122" s="645"/>
      <c r="E122" s="645"/>
      <c r="F122" s="286"/>
      <c r="G122" s="777" t="s">
        <v>44</v>
      </c>
      <c r="H122" s="800"/>
      <c r="I122" s="756"/>
      <c r="J122" s="756"/>
      <c r="K122" s="756"/>
      <c r="L122" s="779" t="s">
        <v>3</v>
      </c>
      <c r="M122" s="1409">
        <f>SUM(N118+P121)</f>
        <v>21475000</v>
      </c>
      <c r="N122" s="1409"/>
      <c r="O122" s="1409"/>
      <c r="P122" s="1410"/>
    </row>
    <row r="123" spans="1:16" ht="30" customHeight="1">
      <c r="A123" s="25"/>
      <c r="B123" s="27"/>
      <c r="C123" s="27">
        <v>4219</v>
      </c>
      <c r="D123" s="646"/>
      <c r="E123" s="646"/>
      <c r="F123" s="287"/>
      <c r="G123" s="776"/>
      <c r="H123" s="774"/>
      <c r="I123" s="774"/>
      <c r="J123" s="774"/>
      <c r="K123" s="774"/>
      <c r="L123" s="774"/>
      <c r="M123" s="774"/>
      <c r="N123" s="793"/>
      <c r="O123" s="793"/>
      <c r="P123" s="794"/>
    </row>
    <row r="124" spans="1:16" ht="30" customHeight="1">
      <c r="A124" s="25"/>
      <c r="B124" s="27"/>
      <c r="C124" s="27" t="s">
        <v>255</v>
      </c>
      <c r="D124" s="646">
        <v>57479</v>
      </c>
      <c r="E124" s="646">
        <v>122000</v>
      </c>
      <c r="F124" s="287">
        <f>D124-E124</f>
        <v>-64521</v>
      </c>
      <c r="G124" s="759" t="s">
        <v>337</v>
      </c>
      <c r="H124" s="759"/>
      <c r="I124" s="759"/>
      <c r="J124" s="759"/>
      <c r="K124" s="759"/>
      <c r="L124" s="759"/>
      <c r="M124" s="760"/>
      <c r="N124" s="761"/>
      <c r="O124" s="761"/>
      <c r="P124" s="762"/>
    </row>
    <row r="125" spans="1:16" ht="27" customHeight="1">
      <c r="A125" s="25"/>
      <c r="B125" s="27"/>
      <c r="C125" s="27"/>
      <c r="D125" s="646"/>
      <c r="E125" s="646"/>
      <c r="F125" s="287"/>
      <c r="G125" s="773" t="s">
        <v>1068</v>
      </c>
      <c r="H125" s="773"/>
      <c r="I125" s="773"/>
      <c r="J125" s="773"/>
      <c r="K125" s="773"/>
      <c r="L125" s="773"/>
      <c r="M125" s="773"/>
      <c r="N125" s="1353">
        <v>2000000</v>
      </c>
      <c r="O125" s="1353"/>
      <c r="P125" s="1354"/>
    </row>
    <row r="126" spans="1:16" ht="25.5" customHeight="1">
      <c r="A126" s="25"/>
      <c r="B126" s="27"/>
      <c r="C126" s="27"/>
      <c r="D126" s="646"/>
      <c r="E126" s="646"/>
      <c r="F126" s="287"/>
      <c r="G126" s="781" t="s">
        <v>360</v>
      </c>
      <c r="H126" s="773"/>
      <c r="I126" s="773"/>
      <c r="J126" s="773"/>
      <c r="K126" s="773"/>
      <c r="L126" s="773"/>
      <c r="M126" s="773"/>
      <c r="N126" s="1353">
        <f>SUM(N125)</f>
        <v>2000000</v>
      </c>
      <c r="O126" s="1353"/>
      <c r="P126" s="1354"/>
    </row>
    <row r="127" spans="1:16" ht="30" customHeight="1">
      <c r="A127" s="25"/>
      <c r="B127" s="27"/>
      <c r="C127" s="27"/>
      <c r="D127" s="646"/>
      <c r="E127" s="646"/>
      <c r="F127" s="287"/>
      <c r="G127" s="781" t="s">
        <v>6</v>
      </c>
      <c r="H127" s="796"/>
      <c r="I127" s="796"/>
      <c r="J127" s="759"/>
      <c r="K127" s="759"/>
      <c r="L127" s="759"/>
      <c r="M127" s="760"/>
      <c r="N127" s="1351" t="s">
        <v>3</v>
      </c>
      <c r="O127" s="1351"/>
      <c r="P127" s="1352"/>
    </row>
    <row r="128" spans="1:16" ht="30" customHeight="1" hidden="1">
      <c r="A128" s="25"/>
      <c r="B128" s="27"/>
      <c r="C128" s="27"/>
      <c r="D128" s="646"/>
      <c r="E128" s="646"/>
      <c r="F128" s="287"/>
      <c r="G128" s="1364"/>
      <c r="H128" s="1365"/>
      <c r="I128" s="1365"/>
      <c r="J128" s="1365"/>
      <c r="K128" s="1365"/>
      <c r="L128" s="1365"/>
      <c r="M128" s="766"/>
      <c r="N128" s="1353"/>
      <c r="O128" s="1353"/>
      <c r="P128" s="1354"/>
    </row>
    <row r="129" spans="1:16" ht="30" customHeight="1" hidden="1">
      <c r="A129" s="25"/>
      <c r="B129" s="27"/>
      <c r="C129" s="27"/>
      <c r="D129" s="646"/>
      <c r="E129" s="646"/>
      <c r="F129" s="287"/>
      <c r="G129" s="1364"/>
      <c r="H129" s="1365"/>
      <c r="I129" s="1365"/>
      <c r="J129" s="1365"/>
      <c r="K129" s="1365"/>
      <c r="L129" s="1365"/>
      <c r="M129" s="766"/>
      <c r="N129" s="1353"/>
      <c r="O129" s="1353"/>
      <c r="P129" s="1354"/>
    </row>
    <row r="130" spans="1:16" ht="30" customHeight="1" hidden="1">
      <c r="A130" s="25"/>
      <c r="B130" s="27"/>
      <c r="C130" s="27"/>
      <c r="D130" s="646"/>
      <c r="E130" s="646"/>
      <c r="F130" s="287"/>
      <c r="G130" s="1364"/>
      <c r="H130" s="1365"/>
      <c r="I130" s="1365"/>
      <c r="J130" s="1365"/>
      <c r="K130" s="1365"/>
      <c r="L130" s="1365"/>
      <c r="M130" s="766"/>
      <c r="N130" s="1353"/>
      <c r="O130" s="1353"/>
      <c r="P130" s="1354"/>
    </row>
    <row r="131" spans="1:16" ht="30" customHeight="1" hidden="1">
      <c r="A131" s="25"/>
      <c r="B131" s="27"/>
      <c r="C131" s="27"/>
      <c r="D131" s="646"/>
      <c r="E131" s="646"/>
      <c r="F131" s="287"/>
      <c r="G131" s="1364"/>
      <c r="H131" s="1365"/>
      <c r="I131" s="1365"/>
      <c r="J131" s="1365"/>
      <c r="K131" s="1365"/>
      <c r="L131" s="1365"/>
      <c r="M131" s="766"/>
      <c r="N131" s="1353"/>
      <c r="O131" s="1353"/>
      <c r="P131" s="1354"/>
    </row>
    <row r="132" spans="1:16" ht="30" customHeight="1" hidden="1">
      <c r="A132" s="25"/>
      <c r="B132" s="27"/>
      <c r="C132" s="27"/>
      <c r="D132" s="646"/>
      <c r="E132" s="646"/>
      <c r="F132" s="287"/>
      <c r="G132" s="1364"/>
      <c r="H132" s="1365"/>
      <c r="I132" s="1365"/>
      <c r="J132" s="1365"/>
      <c r="K132" s="1365"/>
      <c r="L132" s="1365"/>
      <c r="M132" s="766"/>
      <c r="N132" s="1353"/>
      <c r="O132" s="1353"/>
      <c r="P132" s="1354"/>
    </row>
    <row r="133" spans="1:16" ht="30" customHeight="1" hidden="1">
      <c r="A133" s="25"/>
      <c r="B133" s="27"/>
      <c r="C133" s="27"/>
      <c r="D133" s="646"/>
      <c r="E133" s="646"/>
      <c r="F133" s="287"/>
      <c r="G133" s="1364"/>
      <c r="H133" s="1365"/>
      <c r="I133" s="1365"/>
      <c r="J133" s="1365"/>
      <c r="K133" s="1365"/>
      <c r="L133" s="1365"/>
      <c r="M133" s="766"/>
      <c r="N133" s="761"/>
      <c r="O133" s="761"/>
      <c r="P133" s="762"/>
    </row>
    <row r="134" spans="1:16" ht="30" customHeight="1" hidden="1">
      <c r="A134" s="29"/>
      <c r="B134" s="30"/>
      <c r="C134" s="30"/>
      <c r="D134" s="648"/>
      <c r="E134" s="648"/>
      <c r="F134" s="289"/>
      <c r="G134" s="1433"/>
      <c r="H134" s="1434"/>
      <c r="I134" s="1434"/>
      <c r="J134" s="1434"/>
      <c r="K134" s="1434"/>
      <c r="L134" s="1434"/>
      <c r="M134" s="1434"/>
      <c r="N134" s="1384"/>
      <c r="O134" s="1384"/>
      <c r="P134" s="1385"/>
    </row>
    <row r="135" spans="1:16" ht="27" customHeight="1" hidden="1">
      <c r="A135" s="25"/>
      <c r="B135" s="27"/>
      <c r="C135" s="27"/>
      <c r="D135" s="646"/>
      <c r="E135" s="646"/>
      <c r="F135" s="287"/>
      <c r="G135" s="1366"/>
      <c r="H135" s="1370"/>
      <c r="I135" s="1370"/>
      <c r="J135" s="1370"/>
      <c r="K135" s="1370"/>
      <c r="L135" s="1370"/>
      <c r="M135" s="1370"/>
      <c r="N135" s="1353"/>
      <c r="O135" s="1353"/>
      <c r="P135" s="1354"/>
    </row>
    <row r="136" spans="1:16" ht="27" customHeight="1" hidden="1">
      <c r="A136" s="25"/>
      <c r="B136" s="27"/>
      <c r="C136" s="27"/>
      <c r="D136" s="646"/>
      <c r="E136" s="646"/>
      <c r="F136" s="287"/>
      <c r="G136" s="1364"/>
      <c r="H136" s="1365"/>
      <c r="I136" s="1365"/>
      <c r="J136" s="1365"/>
      <c r="K136" s="1365"/>
      <c r="L136" s="1365"/>
      <c r="M136" s="766"/>
      <c r="N136" s="1353"/>
      <c r="O136" s="1353"/>
      <c r="P136" s="1354"/>
    </row>
    <row r="137" spans="1:16" ht="27" customHeight="1" hidden="1">
      <c r="A137" s="25"/>
      <c r="B137" s="27"/>
      <c r="C137" s="27"/>
      <c r="D137" s="646"/>
      <c r="E137" s="646"/>
      <c r="F137" s="287"/>
      <c r="G137" s="1364"/>
      <c r="H137" s="1365"/>
      <c r="I137" s="1365"/>
      <c r="J137" s="1365"/>
      <c r="K137" s="1365"/>
      <c r="L137" s="1365"/>
      <c r="M137" s="766"/>
      <c r="N137" s="1353"/>
      <c r="O137" s="1353"/>
      <c r="P137" s="1354"/>
    </row>
    <row r="138" spans="1:16" ht="27" customHeight="1" hidden="1">
      <c r="A138" s="25"/>
      <c r="B138" s="27"/>
      <c r="C138" s="27"/>
      <c r="D138" s="646"/>
      <c r="E138" s="646"/>
      <c r="F138" s="287"/>
      <c r="G138" s="1047"/>
      <c r="H138" s="1046"/>
      <c r="I138" s="1046"/>
      <c r="J138" s="1046"/>
      <c r="K138" s="1046"/>
      <c r="L138" s="1046"/>
      <c r="M138" s="766"/>
      <c r="N138" s="1353"/>
      <c r="O138" s="1353"/>
      <c r="P138" s="1354"/>
    </row>
    <row r="139" spans="1:16" ht="27" customHeight="1" hidden="1">
      <c r="A139" s="25"/>
      <c r="B139" s="27"/>
      <c r="C139" s="27"/>
      <c r="D139" s="646"/>
      <c r="E139" s="646"/>
      <c r="F139" s="287"/>
      <c r="G139" s="1047"/>
      <c r="H139" s="1046"/>
      <c r="I139" s="1046"/>
      <c r="J139" s="1046"/>
      <c r="K139" s="1046"/>
      <c r="L139" s="1046"/>
      <c r="M139" s="766"/>
      <c r="N139" s="1353"/>
      <c r="O139" s="1353"/>
      <c r="P139" s="1354"/>
    </row>
    <row r="140" spans="1:16" ht="27" customHeight="1" hidden="1">
      <c r="A140" s="25"/>
      <c r="B140" s="27"/>
      <c r="C140" s="27"/>
      <c r="D140" s="646"/>
      <c r="E140" s="646"/>
      <c r="F140" s="287"/>
      <c r="G140" s="1047"/>
      <c r="H140" s="1046"/>
      <c r="I140" s="1046"/>
      <c r="J140" s="1046"/>
      <c r="K140" s="1046"/>
      <c r="L140" s="1046"/>
      <c r="M140" s="766"/>
      <c r="N140" s="1353"/>
      <c r="O140" s="1353"/>
      <c r="P140" s="1354"/>
    </row>
    <row r="141" spans="1:16" ht="27" customHeight="1" hidden="1">
      <c r="A141" s="25"/>
      <c r="B141" s="27"/>
      <c r="C141" s="27"/>
      <c r="D141" s="646"/>
      <c r="E141" s="646"/>
      <c r="F141" s="287"/>
      <c r="G141" s="1047"/>
      <c r="H141" s="1046"/>
      <c r="I141" s="1046"/>
      <c r="J141" s="1046"/>
      <c r="K141" s="1046"/>
      <c r="L141" s="1046"/>
      <c r="M141" s="766"/>
      <c r="N141" s="1353"/>
      <c r="O141" s="1353"/>
      <c r="P141" s="1354"/>
    </row>
    <row r="142" spans="1:16" ht="27" customHeight="1" hidden="1">
      <c r="A142" s="25"/>
      <c r="B142" s="27"/>
      <c r="C142" s="27"/>
      <c r="D142" s="646"/>
      <c r="E142" s="646"/>
      <c r="F142" s="287"/>
      <c r="G142" s="1047"/>
      <c r="H142" s="1046"/>
      <c r="I142" s="1046"/>
      <c r="J142" s="1046"/>
      <c r="K142" s="1046"/>
      <c r="L142" s="1046"/>
      <c r="M142" s="766"/>
      <c r="N142" s="1353"/>
      <c r="O142" s="1353"/>
      <c r="P142" s="1354"/>
    </row>
    <row r="143" spans="1:16" ht="27" customHeight="1" hidden="1">
      <c r="A143" s="25"/>
      <c r="B143" s="27"/>
      <c r="C143" s="27"/>
      <c r="D143" s="646"/>
      <c r="E143" s="646"/>
      <c r="F143" s="287"/>
      <c r="G143" s="1047"/>
      <c r="H143" s="1046"/>
      <c r="I143" s="1046"/>
      <c r="J143" s="1046"/>
      <c r="K143" s="1046"/>
      <c r="L143" s="1046"/>
      <c r="M143" s="766"/>
      <c r="N143" s="1353"/>
      <c r="O143" s="1353"/>
      <c r="P143" s="1354"/>
    </row>
    <row r="144" spans="1:16" ht="27" customHeight="1" hidden="1">
      <c r="A144" s="25"/>
      <c r="B144" s="27"/>
      <c r="C144" s="27"/>
      <c r="D144" s="646"/>
      <c r="E144" s="646"/>
      <c r="F144" s="287"/>
      <c r="G144" s="1047"/>
      <c r="H144" s="1046"/>
      <c r="I144" s="1046"/>
      <c r="J144" s="1046"/>
      <c r="K144" s="1046"/>
      <c r="L144" s="1046"/>
      <c r="M144" s="766"/>
      <c r="N144" s="1353"/>
      <c r="O144" s="1353"/>
      <c r="P144" s="1354"/>
    </row>
    <row r="145" spans="1:16" ht="27" customHeight="1">
      <c r="A145" s="25"/>
      <c r="B145" s="27"/>
      <c r="C145" s="27"/>
      <c r="D145" s="646"/>
      <c r="E145" s="646"/>
      <c r="F145" s="287"/>
      <c r="G145" s="1364" t="s">
        <v>970</v>
      </c>
      <c r="H145" s="1365"/>
      <c r="I145" s="1365"/>
      <c r="J145" s="1365"/>
      <c r="K145" s="1365"/>
      <c r="L145" s="1365"/>
      <c r="M145" s="766"/>
      <c r="N145" s="1353">
        <v>55479000</v>
      </c>
      <c r="O145" s="1353"/>
      <c r="P145" s="1354"/>
    </row>
    <row r="146" spans="1:16" ht="27" customHeight="1">
      <c r="A146" s="25"/>
      <c r="B146" s="27"/>
      <c r="C146" s="27"/>
      <c r="D146" s="646"/>
      <c r="E146" s="646"/>
      <c r="F146" s="287"/>
      <c r="G146" s="1047" t="s">
        <v>375</v>
      </c>
      <c r="H146" s="1046"/>
      <c r="I146" s="1046"/>
      <c r="J146" s="1046"/>
      <c r="K146" s="1046"/>
      <c r="L146" s="1046"/>
      <c r="M146" s="766"/>
      <c r="N146" s="761"/>
      <c r="O146" s="761"/>
      <c r="P146" s="762">
        <f>SUM(N128:P145)</f>
        <v>55479000</v>
      </c>
    </row>
    <row r="147" spans="1:16" s="91" customFormat="1" ht="30" customHeight="1">
      <c r="A147" s="202"/>
      <c r="B147" s="201"/>
      <c r="C147" s="201"/>
      <c r="D147" s="645"/>
      <c r="E147" s="645"/>
      <c r="F147" s="286"/>
      <c r="G147" s="777" t="s">
        <v>44</v>
      </c>
      <c r="H147" s="800"/>
      <c r="I147" s="800"/>
      <c r="J147" s="756"/>
      <c r="K147" s="756"/>
      <c r="L147" s="756"/>
      <c r="M147" s="768" t="s">
        <v>3</v>
      </c>
      <c r="N147" s="1378">
        <f>SUM(N126+P146)</f>
        <v>57479000</v>
      </c>
      <c r="O147" s="1378"/>
      <c r="P147" s="1379"/>
    </row>
    <row r="148" spans="1:16" ht="30" customHeight="1">
      <c r="A148" s="25"/>
      <c r="B148" s="32">
        <v>4220</v>
      </c>
      <c r="C148" s="27"/>
      <c r="D148" s="646"/>
      <c r="E148" s="646"/>
      <c r="F148" s="287"/>
      <c r="G148" s="759"/>
      <c r="H148" s="759"/>
      <c r="I148" s="759"/>
      <c r="J148" s="759"/>
      <c r="K148" s="759"/>
      <c r="L148" s="759"/>
      <c r="M148" s="760"/>
      <c r="N148" s="761"/>
      <c r="O148" s="761"/>
      <c r="P148" s="762"/>
    </row>
    <row r="149" spans="1:16" ht="30" customHeight="1">
      <c r="A149" s="25"/>
      <c r="B149" s="32" t="s">
        <v>256</v>
      </c>
      <c r="C149" s="24"/>
      <c r="D149" s="645">
        <f>D151+D154+D156+D164+D175+D186+D198+D214+D232</f>
        <v>486180</v>
      </c>
      <c r="E149" s="645">
        <f>E151+E154+E156+E164+E175+E186+E198+E214+E232</f>
        <v>655695</v>
      </c>
      <c r="F149" s="286">
        <f>D149-E149</f>
        <v>-169515</v>
      </c>
      <c r="G149" s="756"/>
      <c r="H149" s="756"/>
      <c r="I149" s="756"/>
      <c r="J149" s="756"/>
      <c r="K149" s="756"/>
      <c r="L149" s="756"/>
      <c r="M149" s="768"/>
      <c r="N149" s="757"/>
      <c r="O149" s="757"/>
      <c r="P149" s="758"/>
    </row>
    <row r="150" spans="1:16" ht="30" customHeight="1">
      <c r="A150" s="25"/>
      <c r="B150" s="32"/>
      <c r="C150" s="27">
        <v>4221</v>
      </c>
      <c r="D150" s="646"/>
      <c r="E150" s="646"/>
      <c r="F150" s="287"/>
      <c r="G150" s="773"/>
      <c r="H150" s="774"/>
      <c r="I150" s="774"/>
      <c r="J150" s="774"/>
      <c r="K150" s="774"/>
      <c r="L150" s="774"/>
      <c r="M150" s="774"/>
      <c r="N150" s="793"/>
      <c r="O150" s="793"/>
      <c r="P150" s="794"/>
    </row>
    <row r="151" spans="1:16" ht="30" customHeight="1">
      <c r="A151" s="25"/>
      <c r="B151" s="27"/>
      <c r="C151" s="32" t="s">
        <v>257</v>
      </c>
      <c r="D151" s="646">
        <v>0</v>
      </c>
      <c r="E151" s="646">
        <v>0</v>
      </c>
      <c r="F151" s="287">
        <f>D151-E151</f>
        <v>0</v>
      </c>
      <c r="G151" s="781"/>
      <c r="H151" s="759"/>
      <c r="I151" s="759"/>
      <c r="J151" s="759"/>
      <c r="K151" s="759"/>
      <c r="L151" s="759"/>
      <c r="M151" s="760"/>
      <c r="N151" s="1351"/>
      <c r="O151" s="1351"/>
      <c r="P151" s="1352"/>
    </row>
    <row r="152" spans="1:16" ht="30" customHeight="1">
      <c r="A152" s="25"/>
      <c r="B152" s="43"/>
      <c r="C152" s="27"/>
      <c r="D152" s="646"/>
      <c r="E152" s="646"/>
      <c r="F152" s="287"/>
      <c r="G152" s="777"/>
      <c r="H152" s="778"/>
      <c r="I152" s="778"/>
      <c r="J152" s="778"/>
      <c r="K152" s="778"/>
      <c r="L152" s="756"/>
      <c r="M152" s="768"/>
      <c r="N152" s="1378"/>
      <c r="O152" s="1378"/>
      <c r="P152" s="1379"/>
    </row>
    <row r="153" spans="1:16" ht="30" customHeight="1">
      <c r="A153" s="25"/>
      <c r="B153" s="27"/>
      <c r="C153" s="28">
        <v>4222</v>
      </c>
      <c r="D153" s="647"/>
      <c r="E153" s="647"/>
      <c r="F153" s="288"/>
      <c r="G153" s="781" t="s">
        <v>6</v>
      </c>
      <c r="H153" s="796"/>
      <c r="I153" s="796"/>
      <c r="J153" s="796"/>
      <c r="K153" s="759"/>
      <c r="L153" s="759"/>
      <c r="M153" s="759"/>
      <c r="N153" s="1351" t="s">
        <v>3</v>
      </c>
      <c r="O153" s="1351"/>
      <c r="P153" s="1352"/>
    </row>
    <row r="154" spans="1:16" ht="30" customHeight="1">
      <c r="A154" s="25"/>
      <c r="B154" s="27"/>
      <c r="C154" s="27" t="s">
        <v>258</v>
      </c>
      <c r="D154" s="646">
        <v>874</v>
      </c>
      <c r="E154" s="655">
        <v>4000</v>
      </c>
      <c r="F154" s="287">
        <f>D154-E154</f>
        <v>-3126</v>
      </c>
      <c r="G154" s="1364" t="s">
        <v>971</v>
      </c>
      <c r="H154" s="1365"/>
      <c r="I154" s="1046"/>
      <c r="J154" s="1046"/>
      <c r="K154" s="1389" t="s">
        <v>3</v>
      </c>
      <c r="L154" s="1389"/>
      <c r="M154" s="1389"/>
      <c r="N154" s="1353">
        <v>874000</v>
      </c>
      <c r="O154" s="1353"/>
      <c r="P154" s="1354"/>
    </row>
    <row r="155" spans="1:16" ht="22.5" customHeight="1">
      <c r="A155" s="25"/>
      <c r="B155" s="27"/>
      <c r="C155" s="28">
        <v>4223</v>
      </c>
      <c r="D155" s="647"/>
      <c r="E155" s="647"/>
      <c r="F155" s="288"/>
      <c r="G155" s="763"/>
      <c r="H155" s="769"/>
      <c r="I155" s="769"/>
      <c r="J155" s="769"/>
      <c r="K155" s="769"/>
      <c r="L155" s="769"/>
      <c r="M155" s="769"/>
      <c r="N155" s="798"/>
      <c r="O155" s="798"/>
      <c r="P155" s="799"/>
    </row>
    <row r="156" spans="1:16" ht="30" customHeight="1">
      <c r="A156" s="25"/>
      <c r="B156" s="27"/>
      <c r="C156" s="27" t="s">
        <v>259</v>
      </c>
      <c r="D156" s="646">
        <v>2978</v>
      </c>
      <c r="E156" s="655">
        <v>35000</v>
      </c>
      <c r="F156" s="287">
        <f>D156-E156</f>
        <v>-32022</v>
      </c>
      <c r="G156" s="759" t="s">
        <v>337</v>
      </c>
      <c r="H156" s="759"/>
      <c r="I156" s="759"/>
      <c r="J156" s="759"/>
      <c r="K156" s="759"/>
      <c r="L156" s="759"/>
      <c r="M156" s="759"/>
      <c r="N156" s="1351" t="s">
        <v>3</v>
      </c>
      <c r="O156" s="1351"/>
      <c r="P156" s="1352"/>
    </row>
    <row r="157" spans="1:16" ht="30" customHeight="1">
      <c r="A157" s="25"/>
      <c r="B157" s="27"/>
      <c r="C157" s="27"/>
      <c r="D157" s="646"/>
      <c r="E157" s="646"/>
      <c r="F157" s="287"/>
      <c r="G157" s="781" t="s">
        <v>904</v>
      </c>
      <c r="H157" s="1046"/>
      <c r="I157" s="1046"/>
      <c r="J157" s="1046"/>
      <c r="K157" s="766"/>
      <c r="L157" s="766"/>
      <c r="M157" s="766"/>
      <c r="N157" s="1353">
        <v>1000000</v>
      </c>
      <c r="O157" s="1353"/>
      <c r="P157" s="1354"/>
    </row>
    <row r="158" spans="1:16" ht="30" customHeight="1">
      <c r="A158" s="25"/>
      <c r="B158" s="27"/>
      <c r="C158" s="27"/>
      <c r="D158" s="646"/>
      <c r="E158" s="646"/>
      <c r="F158" s="287"/>
      <c r="G158" s="781" t="s">
        <v>359</v>
      </c>
      <c r="H158" s="1046"/>
      <c r="I158" s="1046"/>
      <c r="J158" s="1046"/>
      <c r="K158" s="766"/>
      <c r="L158" s="766"/>
      <c r="M158" s="766"/>
      <c r="N158" s="1353">
        <f>SUM(N157:P157)</f>
        <v>1000000</v>
      </c>
      <c r="O158" s="1353"/>
      <c r="P158" s="1354"/>
    </row>
    <row r="159" spans="1:16" ht="30" customHeight="1">
      <c r="A159" s="25"/>
      <c r="B159" s="27"/>
      <c r="C159" s="27"/>
      <c r="D159" s="646"/>
      <c r="E159" s="646"/>
      <c r="F159" s="287"/>
      <c r="G159" s="781" t="s">
        <v>6</v>
      </c>
      <c r="H159" s="1046"/>
      <c r="I159" s="1046"/>
      <c r="J159" s="1046"/>
      <c r="K159" s="766"/>
      <c r="L159" s="766"/>
      <c r="M159" s="766"/>
      <c r="N159" s="1351" t="s">
        <v>3</v>
      </c>
      <c r="O159" s="1351"/>
      <c r="P159" s="1352"/>
    </row>
    <row r="160" spans="1:16" ht="30" customHeight="1">
      <c r="A160" s="25"/>
      <c r="B160" s="27"/>
      <c r="C160" s="27"/>
      <c r="D160" s="646"/>
      <c r="E160" s="646"/>
      <c r="F160" s="287"/>
      <c r="G160" s="1047" t="s">
        <v>1357</v>
      </c>
      <c r="H160" s="1046"/>
      <c r="I160" s="1046"/>
      <c r="J160" s="1046"/>
      <c r="K160" s="1046"/>
      <c r="L160" s="759"/>
      <c r="M160" s="759"/>
      <c r="N160" s="1353">
        <v>1987000</v>
      </c>
      <c r="O160" s="1353"/>
      <c r="P160" s="1354"/>
    </row>
    <row r="161" spans="1:16" ht="30" customHeight="1">
      <c r="A161" s="25"/>
      <c r="B161" s="27"/>
      <c r="C161" s="27"/>
      <c r="D161" s="646"/>
      <c r="E161" s="646"/>
      <c r="F161" s="287"/>
      <c r="G161" s="759" t="s">
        <v>359</v>
      </c>
      <c r="H161" s="759"/>
      <c r="I161" s="759"/>
      <c r="J161" s="759"/>
      <c r="K161" s="759" t="s">
        <v>159</v>
      </c>
      <c r="L161" s="759"/>
      <c r="M161" s="761"/>
      <c r="N161" s="1353">
        <f>SUM(N160:P160)</f>
        <v>1987000</v>
      </c>
      <c r="O161" s="1353"/>
      <c r="P161" s="1354"/>
    </row>
    <row r="162" spans="1:16" ht="30" customHeight="1">
      <c r="A162" s="25"/>
      <c r="B162" s="27"/>
      <c r="C162" s="27"/>
      <c r="D162" s="646"/>
      <c r="E162" s="646"/>
      <c r="F162" s="287"/>
      <c r="G162" s="759" t="s">
        <v>4</v>
      </c>
      <c r="H162" s="759"/>
      <c r="I162" s="759"/>
      <c r="J162" s="759"/>
      <c r="K162" s="759" t="s">
        <v>159</v>
      </c>
      <c r="L162" s="756"/>
      <c r="M162" s="757"/>
      <c r="N162" s="1375">
        <f>+N158+N161</f>
        <v>2987000</v>
      </c>
      <c r="O162" s="1375"/>
      <c r="P162" s="1376"/>
    </row>
    <row r="163" spans="1:16" ht="30" customHeight="1">
      <c r="A163" s="25"/>
      <c r="B163" s="27"/>
      <c r="C163" s="28">
        <v>4224</v>
      </c>
      <c r="D163" s="647"/>
      <c r="E163" s="647"/>
      <c r="F163" s="288"/>
      <c r="G163" s="763"/>
      <c r="H163" s="769"/>
      <c r="I163" s="769"/>
      <c r="J163" s="769"/>
      <c r="K163" s="769"/>
      <c r="L163" s="769"/>
      <c r="M163" s="769"/>
      <c r="N163" s="798"/>
      <c r="O163" s="798"/>
      <c r="P163" s="799"/>
    </row>
    <row r="164" spans="1:16" ht="30" customHeight="1">
      <c r="A164" s="25"/>
      <c r="B164" s="27"/>
      <c r="C164" s="27" t="s">
        <v>260</v>
      </c>
      <c r="D164" s="646">
        <v>5365</v>
      </c>
      <c r="E164" s="655">
        <v>29100</v>
      </c>
      <c r="F164" s="287">
        <f>D164-E164</f>
        <v>-23735</v>
      </c>
      <c r="G164" s="781" t="s">
        <v>885</v>
      </c>
      <c r="H164" s="759"/>
      <c r="I164" s="759"/>
      <c r="J164" s="759"/>
      <c r="K164" s="759"/>
      <c r="L164" s="759"/>
      <c r="M164" s="759"/>
      <c r="N164" s="1351" t="s">
        <v>887</v>
      </c>
      <c r="O164" s="1351"/>
      <c r="P164" s="1352"/>
    </row>
    <row r="165" spans="1:16" ht="30" customHeight="1">
      <c r="A165" s="25"/>
      <c r="B165" s="27"/>
      <c r="C165" s="27"/>
      <c r="D165" s="646"/>
      <c r="E165" s="646"/>
      <c r="F165" s="287"/>
      <c r="G165" s="773" t="s">
        <v>905</v>
      </c>
      <c r="H165" s="773"/>
      <c r="I165" s="773"/>
      <c r="J165" s="773"/>
      <c r="K165" s="773"/>
      <c r="L165" s="773"/>
      <c r="M165" s="773"/>
      <c r="N165" s="1353">
        <v>1100000</v>
      </c>
      <c r="O165" s="1353"/>
      <c r="P165" s="1354"/>
    </row>
    <row r="166" spans="1:16" ht="30" customHeight="1">
      <c r="A166" s="25"/>
      <c r="B166" s="27"/>
      <c r="C166" s="27"/>
      <c r="D166" s="646"/>
      <c r="E166" s="646"/>
      <c r="F166" s="287"/>
      <c r="G166" s="782" t="s">
        <v>906</v>
      </c>
      <c r="H166" s="1046"/>
      <c r="I166" s="1046"/>
      <c r="J166" s="1046"/>
      <c r="K166" s="766"/>
      <c r="L166" s="766"/>
      <c r="M166" s="766"/>
      <c r="N166" s="1353">
        <f>SUM(N165:P165)</f>
        <v>1100000</v>
      </c>
      <c r="O166" s="1367"/>
      <c r="P166" s="1393"/>
    </row>
    <row r="167" spans="1:16" ht="27" customHeight="1">
      <c r="A167" s="25"/>
      <c r="B167" s="27"/>
      <c r="C167" s="27"/>
      <c r="D167" s="646"/>
      <c r="E167" s="646"/>
      <c r="F167" s="287"/>
      <c r="G167" s="781" t="s">
        <v>6</v>
      </c>
      <c r="H167" s="1046"/>
      <c r="I167" s="1046"/>
      <c r="J167" s="1046"/>
      <c r="K167" s="766"/>
      <c r="L167" s="766"/>
      <c r="M167" s="766"/>
      <c r="N167" s="1351" t="s">
        <v>3</v>
      </c>
      <c r="O167" s="1367"/>
      <c r="P167" s="1393"/>
    </row>
    <row r="168" spans="1:16" ht="27" customHeight="1" hidden="1">
      <c r="A168" s="25"/>
      <c r="B168" s="27"/>
      <c r="C168" s="27"/>
      <c r="D168" s="646"/>
      <c r="E168" s="646"/>
      <c r="F168" s="287"/>
      <c r="G168" s="1364"/>
      <c r="H168" s="1394"/>
      <c r="I168" s="1394"/>
      <c r="J168" s="1394"/>
      <c r="K168" s="1369"/>
      <c r="L168" s="1369"/>
      <c r="M168" s="1369"/>
      <c r="N168" s="1353"/>
      <c r="O168" s="1394"/>
      <c r="P168" s="1393"/>
    </row>
    <row r="169" spans="1:16" ht="27" customHeight="1" hidden="1">
      <c r="A169" s="29"/>
      <c r="B169" s="30"/>
      <c r="C169" s="30"/>
      <c r="D169" s="648"/>
      <c r="E169" s="648"/>
      <c r="F169" s="289"/>
      <c r="G169" s="1065"/>
      <c r="H169" s="1057"/>
      <c r="I169" s="1057"/>
      <c r="J169" s="1057"/>
      <c r="K169" s="1039"/>
      <c r="L169" s="1039"/>
      <c r="M169" s="1039"/>
      <c r="N169" s="1384"/>
      <c r="O169" s="1438"/>
      <c r="P169" s="1439"/>
    </row>
    <row r="170" spans="1:16" ht="27" customHeight="1">
      <c r="A170" s="25"/>
      <c r="B170" s="27"/>
      <c r="C170" s="27"/>
      <c r="D170" s="646"/>
      <c r="E170" s="646"/>
      <c r="F170" s="287"/>
      <c r="G170" s="1047" t="s">
        <v>1033</v>
      </c>
      <c r="H170" s="1046"/>
      <c r="I170" s="1046"/>
      <c r="J170" s="1046"/>
      <c r="K170" s="766"/>
      <c r="L170" s="766"/>
      <c r="M170" s="766"/>
      <c r="N170" s="1353">
        <v>2000000</v>
      </c>
      <c r="O170" s="1394"/>
      <c r="P170" s="1393"/>
    </row>
    <row r="171" spans="1:16" ht="27" customHeight="1">
      <c r="A171" s="25"/>
      <c r="B171" s="27"/>
      <c r="C171" s="27"/>
      <c r="D171" s="646"/>
      <c r="E171" s="646"/>
      <c r="F171" s="287"/>
      <c r="G171" s="1047" t="s">
        <v>1034</v>
      </c>
      <c r="H171" s="1055"/>
      <c r="I171" s="1055"/>
      <c r="J171" s="1055"/>
      <c r="K171" s="766"/>
      <c r="L171" s="766"/>
      <c r="M171" s="766"/>
      <c r="N171" s="761"/>
      <c r="O171" s="1055"/>
      <c r="P171" s="794">
        <v>2265000</v>
      </c>
    </row>
    <row r="172" spans="1:16" ht="27" customHeight="1">
      <c r="A172" s="25"/>
      <c r="B172" s="27"/>
      <c r="C172" s="27"/>
      <c r="D172" s="646"/>
      <c r="E172" s="646"/>
      <c r="F172" s="287"/>
      <c r="G172" s="781" t="s">
        <v>359</v>
      </c>
      <c r="H172" s="759"/>
      <c r="I172" s="759"/>
      <c r="J172" s="759"/>
      <c r="K172" s="759" t="s">
        <v>159</v>
      </c>
      <c r="L172" s="759"/>
      <c r="M172" s="761"/>
      <c r="N172" s="1353">
        <f>SUM(N168:P171)</f>
        <v>4265000</v>
      </c>
      <c r="O172" s="1367"/>
      <c r="P172" s="1393"/>
    </row>
    <row r="173" spans="1:16" ht="27" customHeight="1">
      <c r="A173" s="25"/>
      <c r="B173" s="27"/>
      <c r="C173" s="24"/>
      <c r="D173" s="645"/>
      <c r="E173" s="645"/>
      <c r="F173" s="286"/>
      <c r="G173" s="756" t="s">
        <v>4</v>
      </c>
      <c r="H173" s="756"/>
      <c r="I173" s="756"/>
      <c r="J173" s="756"/>
      <c r="K173" s="756" t="s">
        <v>159</v>
      </c>
      <c r="L173" s="756"/>
      <c r="M173" s="757"/>
      <c r="N173" s="1375">
        <f>SUM(N166+N172)</f>
        <v>5365000</v>
      </c>
      <c r="O173" s="1403"/>
      <c r="P173" s="1404"/>
    </row>
    <row r="174" spans="1:16" ht="22.5" customHeight="1">
      <c r="A174" s="25"/>
      <c r="B174" s="27"/>
      <c r="C174" s="27">
        <v>4225</v>
      </c>
      <c r="D174" s="646"/>
      <c r="E174" s="646"/>
      <c r="F174" s="287"/>
      <c r="G174" s="773"/>
      <c r="H174" s="774"/>
      <c r="I174" s="774"/>
      <c r="J174" s="774"/>
      <c r="K174" s="774"/>
      <c r="L174" s="774"/>
      <c r="M174" s="774"/>
      <c r="N174" s="793"/>
      <c r="O174" s="793"/>
      <c r="P174" s="794"/>
    </row>
    <row r="175" spans="1:16" ht="27.75" customHeight="1">
      <c r="A175" s="25"/>
      <c r="B175" s="27"/>
      <c r="C175" s="27" t="s">
        <v>261</v>
      </c>
      <c r="D175" s="646">
        <v>113879</v>
      </c>
      <c r="E175" s="655">
        <v>170500</v>
      </c>
      <c r="F175" s="287">
        <f>D175-E175</f>
        <v>-56621</v>
      </c>
      <c r="G175" s="759" t="s">
        <v>337</v>
      </c>
      <c r="H175" s="759"/>
      <c r="I175" s="759"/>
      <c r="J175" s="759"/>
      <c r="K175" s="759"/>
      <c r="L175" s="759"/>
      <c r="M175" s="759"/>
      <c r="N175" s="1351" t="s">
        <v>3</v>
      </c>
      <c r="O175" s="1351"/>
      <c r="P175" s="1352"/>
    </row>
    <row r="176" spans="1:16" ht="27.75" customHeight="1">
      <c r="A176" s="25"/>
      <c r="B176" s="27"/>
      <c r="C176" s="27"/>
      <c r="D176" s="646"/>
      <c r="E176" s="646"/>
      <c r="F176" s="287"/>
      <c r="G176" s="759" t="s">
        <v>909</v>
      </c>
      <c r="H176" s="759"/>
      <c r="I176" s="759"/>
      <c r="J176" s="759"/>
      <c r="K176" s="766"/>
      <c r="L176" s="766"/>
      <c r="M176" s="766"/>
      <c r="N176" s="761"/>
      <c r="O176" s="761"/>
      <c r="P176" s="762">
        <v>500000</v>
      </c>
    </row>
    <row r="177" spans="1:16" ht="27.75" customHeight="1" hidden="1">
      <c r="A177" s="25"/>
      <c r="B177" s="27"/>
      <c r="C177" s="27"/>
      <c r="D177" s="646"/>
      <c r="E177" s="646"/>
      <c r="F177" s="287"/>
      <c r="G177" s="781"/>
      <c r="H177" s="759"/>
      <c r="I177" s="759"/>
      <c r="J177" s="759"/>
      <c r="K177" s="766"/>
      <c r="L177" s="766"/>
      <c r="M177" s="766"/>
      <c r="N177" s="1353"/>
      <c r="O177" s="1353"/>
      <c r="P177" s="1354"/>
    </row>
    <row r="178" spans="1:16" ht="27.75" customHeight="1" hidden="1">
      <c r="A178" s="25"/>
      <c r="B178" s="27"/>
      <c r="C178" s="27"/>
      <c r="D178" s="646"/>
      <c r="E178" s="646"/>
      <c r="F178" s="287"/>
      <c r="G178" s="781"/>
      <c r="H178" s="759"/>
      <c r="I178" s="759"/>
      <c r="J178" s="759"/>
      <c r="K178" s="766"/>
      <c r="L178" s="766"/>
      <c r="M178" s="766"/>
      <c r="N178" s="1353"/>
      <c r="O178" s="1353"/>
      <c r="P178" s="1354"/>
    </row>
    <row r="179" spans="1:16" ht="27.75" customHeight="1">
      <c r="A179" s="25"/>
      <c r="B179" s="27"/>
      <c r="C179" s="27"/>
      <c r="D179" s="646"/>
      <c r="E179" s="646"/>
      <c r="F179" s="287"/>
      <c r="G179" s="781" t="s">
        <v>384</v>
      </c>
      <c r="H179" s="759"/>
      <c r="I179" s="759"/>
      <c r="J179" s="759"/>
      <c r="K179" s="766"/>
      <c r="L179" s="766"/>
      <c r="M179" s="766"/>
      <c r="N179" s="1353">
        <f>SUM(N176:P178)</f>
        <v>500000</v>
      </c>
      <c r="O179" s="1353"/>
      <c r="P179" s="1354"/>
    </row>
    <row r="180" spans="1:16" ht="27.75" customHeight="1">
      <c r="A180" s="25"/>
      <c r="B180" s="27"/>
      <c r="C180" s="27"/>
      <c r="D180" s="646"/>
      <c r="E180" s="646"/>
      <c r="F180" s="287"/>
      <c r="G180" s="781" t="s">
        <v>6</v>
      </c>
      <c r="H180" s="759"/>
      <c r="I180" s="759"/>
      <c r="J180" s="759"/>
      <c r="K180" s="766"/>
      <c r="L180" s="766"/>
      <c r="M180" s="766"/>
      <c r="N180" s="1351" t="s">
        <v>3</v>
      </c>
      <c r="O180" s="1351"/>
      <c r="P180" s="1352"/>
    </row>
    <row r="181" spans="1:16" ht="27.75" customHeight="1">
      <c r="A181" s="25"/>
      <c r="B181" s="27"/>
      <c r="C181" s="27"/>
      <c r="D181" s="646"/>
      <c r="E181" s="646"/>
      <c r="F181" s="287"/>
      <c r="G181" s="1368" t="s">
        <v>1358</v>
      </c>
      <c r="H181" s="1369"/>
      <c r="I181" s="1369"/>
      <c r="J181" s="759"/>
      <c r="K181" s="1369"/>
      <c r="L181" s="1369"/>
      <c r="M181" s="1369"/>
      <c r="N181" s="1353">
        <v>43000000</v>
      </c>
      <c r="O181" s="1353"/>
      <c r="P181" s="1354"/>
    </row>
    <row r="182" spans="1:16" ht="27.75" customHeight="1">
      <c r="A182" s="25"/>
      <c r="B182" s="27"/>
      <c r="C182" s="27"/>
      <c r="D182" s="646"/>
      <c r="E182" s="646"/>
      <c r="F182" s="287"/>
      <c r="G182" s="1357" t="s">
        <v>1359</v>
      </c>
      <c r="H182" s="1358"/>
      <c r="I182" s="1358"/>
      <c r="J182" s="1358"/>
      <c r="K182" s="1358"/>
      <c r="L182" s="1358"/>
      <c r="M182" s="1358"/>
      <c r="N182" s="1353">
        <v>70379000</v>
      </c>
      <c r="O182" s="1353"/>
      <c r="P182" s="1354"/>
    </row>
    <row r="183" spans="1:16" ht="27.75" customHeight="1">
      <c r="A183" s="25"/>
      <c r="B183" s="27"/>
      <c r="C183" s="27"/>
      <c r="D183" s="646"/>
      <c r="E183" s="646"/>
      <c r="F183" s="287"/>
      <c r="G183" s="781" t="s">
        <v>359</v>
      </c>
      <c r="H183" s="801"/>
      <c r="I183" s="801"/>
      <c r="J183" s="801"/>
      <c r="K183" s="801"/>
      <c r="L183" s="801"/>
      <c r="M183" s="801"/>
      <c r="N183" s="761"/>
      <c r="O183" s="761"/>
      <c r="P183" s="762">
        <f>SUM(N181:P182)</f>
        <v>113379000</v>
      </c>
    </row>
    <row r="184" spans="1:16" ht="27.75" customHeight="1">
      <c r="A184" s="25"/>
      <c r="B184" s="27"/>
      <c r="C184" s="27"/>
      <c r="D184" s="646"/>
      <c r="E184" s="646"/>
      <c r="F184" s="287"/>
      <c r="G184" s="756" t="s">
        <v>4</v>
      </c>
      <c r="H184" s="801"/>
      <c r="I184" s="801"/>
      <c r="J184" s="801"/>
      <c r="K184" s="801"/>
      <c r="L184" s="759"/>
      <c r="M184" s="761"/>
      <c r="N184" s="1353">
        <f>SUM(N179+P183)</f>
        <v>113879000</v>
      </c>
      <c r="O184" s="1353"/>
      <c r="P184" s="1354"/>
    </row>
    <row r="185" spans="1:16" ht="30" customHeight="1">
      <c r="A185" s="25"/>
      <c r="B185" s="27"/>
      <c r="C185" s="28">
        <v>4226</v>
      </c>
      <c r="D185" s="647"/>
      <c r="E185" s="647"/>
      <c r="F185" s="288"/>
      <c r="G185" s="764"/>
      <c r="H185" s="769"/>
      <c r="I185" s="769"/>
      <c r="J185" s="769"/>
      <c r="K185" s="769"/>
      <c r="L185" s="769"/>
      <c r="M185" s="783"/>
      <c r="N185" s="784"/>
      <c r="O185" s="784"/>
      <c r="P185" s="785"/>
    </row>
    <row r="186" spans="1:16" ht="30" customHeight="1">
      <c r="A186" s="25"/>
      <c r="B186" s="27"/>
      <c r="C186" s="27" t="s">
        <v>262</v>
      </c>
      <c r="D186" s="646">
        <v>242936</v>
      </c>
      <c r="E186" s="655">
        <v>306000</v>
      </c>
      <c r="F186" s="287">
        <f>D186-E186</f>
        <v>-63064</v>
      </c>
      <c r="G186" s="759" t="s">
        <v>337</v>
      </c>
      <c r="H186" s="759"/>
      <c r="I186" s="759"/>
      <c r="J186" s="759"/>
      <c r="K186" s="759"/>
      <c r="L186" s="759"/>
      <c r="M186" s="773"/>
      <c r="N186" s="1359" t="s">
        <v>3</v>
      </c>
      <c r="O186" s="1359"/>
      <c r="P186" s="1360"/>
    </row>
    <row r="187" spans="1:16" ht="30" customHeight="1">
      <c r="A187" s="25"/>
      <c r="B187" s="27"/>
      <c r="C187" s="27"/>
      <c r="D187" s="646" t="s">
        <v>3</v>
      </c>
      <c r="E187" s="646" t="s">
        <v>3</v>
      </c>
      <c r="F187" s="287"/>
      <c r="G187" s="781" t="s">
        <v>913</v>
      </c>
      <c r="H187" s="1046"/>
      <c r="I187" s="1046"/>
      <c r="J187" s="1043" t="s">
        <v>890</v>
      </c>
      <c r="K187" s="782" t="s">
        <v>911</v>
      </c>
      <c r="L187" s="1351">
        <v>4000000</v>
      </c>
      <c r="M187" s="1351"/>
      <c r="N187" s="1353">
        <f>L187*12</f>
        <v>48000000</v>
      </c>
      <c r="O187" s="1353"/>
      <c r="P187" s="1354"/>
    </row>
    <row r="188" spans="1:16" ht="30" customHeight="1">
      <c r="A188" s="25"/>
      <c r="B188" s="27"/>
      <c r="C188" s="27"/>
      <c r="D188" s="646"/>
      <c r="E188" s="646"/>
      <c r="F188" s="287"/>
      <c r="G188" s="781" t="s">
        <v>914</v>
      </c>
      <c r="H188" s="1046"/>
      <c r="I188" s="1046"/>
      <c r="J188" s="1043" t="s">
        <v>890</v>
      </c>
      <c r="K188" s="782" t="s">
        <v>911</v>
      </c>
      <c r="L188" s="1351">
        <v>433330</v>
      </c>
      <c r="M188" s="1351"/>
      <c r="N188" s="1353">
        <v>10000000</v>
      </c>
      <c r="O188" s="1353"/>
      <c r="P188" s="1354"/>
    </row>
    <row r="189" spans="1:16" ht="30" customHeight="1" hidden="1">
      <c r="A189" s="25"/>
      <c r="B189" s="27"/>
      <c r="C189" s="27"/>
      <c r="D189" s="646"/>
      <c r="E189" s="646"/>
      <c r="F189" s="287"/>
      <c r="G189" s="781"/>
      <c r="H189" s="1046"/>
      <c r="I189" s="1046"/>
      <c r="J189" s="1043"/>
      <c r="K189" s="782"/>
      <c r="L189" s="1351"/>
      <c r="M189" s="1351"/>
      <c r="N189" s="1353"/>
      <c r="O189" s="1353"/>
      <c r="P189" s="1354"/>
    </row>
    <row r="190" spans="1:16" ht="30" customHeight="1" hidden="1">
      <c r="A190" s="25"/>
      <c r="B190" s="27"/>
      <c r="C190" s="27"/>
      <c r="D190" s="646"/>
      <c r="E190" s="646"/>
      <c r="F190" s="287"/>
      <c r="G190" s="781"/>
      <c r="H190" s="1046"/>
      <c r="I190" s="1046"/>
      <c r="J190" s="1043"/>
      <c r="K190" s="782"/>
      <c r="L190" s="1351"/>
      <c r="M190" s="1351"/>
      <c r="N190" s="1353"/>
      <c r="O190" s="1353"/>
      <c r="P190" s="1354"/>
    </row>
    <row r="191" spans="1:16" ht="30" customHeight="1">
      <c r="A191" s="25"/>
      <c r="B191" s="27"/>
      <c r="C191" s="27"/>
      <c r="D191" s="646"/>
      <c r="E191" s="646"/>
      <c r="F191" s="287"/>
      <c r="G191" s="781" t="s">
        <v>384</v>
      </c>
      <c r="H191" s="1046"/>
      <c r="I191" s="1046"/>
      <c r="J191" s="1046"/>
      <c r="K191" s="759"/>
      <c r="L191" s="759"/>
      <c r="M191" s="759"/>
      <c r="N191" s="1353">
        <f>SUM(N187:P190)</f>
        <v>58000000</v>
      </c>
      <c r="O191" s="1353"/>
      <c r="P191" s="1354"/>
    </row>
    <row r="192" spans="1:16" ht="30" customHeight="1">
      <c r="A192" s="25"/>
      <c r="B192" s="27"/>
      <c r="C192" s="27"/>
      <c r="D192" s="646"/>
      <c r="E192" s="646"/>
      <c r="F192" s="287"/>
      <c r="G192" s="781" t="s">
        <v>6</v>
      </c>
      <c r="H192" s="1046"/>
      <c r="I192" s="1046"/>
      <c r="J192" s="1046"/>
      <c r="K192" s="759"/>
      <c r="L192" s="759"/>
      <c r="M192" s="759"/>
      <c r="N192" s="1351" t="s">
        <v>3</v>
      </c>
      <c r="O192" s="1351"/>
      <c r="P192" s="1352"/>
    </row>
    <row r="193" spans="1:16" ht="30" customHeight="1">
      <c r="A193" s="25"/>
      <c r="B193" s="27"/>
      <c r="C193" s="27"/>
      <c r="D193" s="646"/>
      <c r="E193" s="646"/>
      <c r="F193" s="287"/>
      <c r="G193" s="1364" t="s">
        <v>1180</v>
      </c>
      <c r="H193" s="1365"/>
      <c r="I193" s="1046"/>
      <c r="J193" s="1043" t="s">
        <v>191</v>
      </c>
      <c r="K193" s="782" t="s">
        <v>105</v>
      </c>
      <c r="L193" s="1351">
        <v>9000000</v>
      </c>
      <c r="M193" s="1351"/>
      <c r="N193" s="1353">
        <f>L193*12</f>
        <v>108000000</v>
      </c>
      <c r="O193" s="1353"/>
      <c r="P193" s="1354"/>
    </row>
    <row r="194" spans="1:16" ht="30" customHeight="1">
      <c r="A194" s="25"/>
      <c r="B194" s="27"/>
      <c r="C194" s="27"/>
      <c r="D194" s="646"/>
      <c r="E194" s="646"/>
      <c r="F194" s="287"/>
      <c r="G194" s="1357" t="s">
        <v>1181</v>
      </c>
      <c r="H194" s="1358"/>
      <c r="I194" s="801"/>
      <c r="J194" s="1043" t="s">
        <v>191</v>
      </c>
      <c r="K194" s="782" t="s">
        <v>105</v>
      </c>
      <c r="L194" s="1351">
        <v>6411333</v>
      </c>
      <c r="M194" s="1351"/>
      <c r="N194" s="1353">
        <v>76936000</v>
      </c>
      <c r="O194" s="1353"/>
      <c r="P194" s="1354"/>
    </row>
    <row r="195" spans="1:16" ht="30" customHeight="1">
      <c r="A195" s="25"/>
      <c r="B195" s="27"/>
      <c r="C195" s="27"/>
      <c r="D195" s="646"/>
      <c r="E195" s="646"/>
      <c r="F195" s="287"/>
      <c r="G195" s="781" t="s">
        <v>359</v>
      </c>
      <c r="H195" s="759"/>
      <c r="I195" s="759"/>
      <c r="J195" s="759"/>
      <c r="K195" s="759"/>
      <c r="L195" s="759"/>
      <c r="M195" s="759"/>
      <c r="N195" s="1353">
        <f>SUM(N193:P194)</f>
        <v>184936000</v>
      </c>
      <c r="O195" s="1353"/>
      <c r="P195" s="1354"/>
    </row>
    <row r="196" spans="1:16" ht="30" customHeight="1">
      <c r="A196" s="25"/>
      <c r="B196" s="27"/>
      <c r="C196" s="27"/>
      <c r="D196" s="646"/>
      <c r="E196" s="646"/>
      <c r="F196" s="287"/>
      <c r="G196" s="781" t="s">
        <v>4</v>
      </c>
      <c r="H196" s="759"/>
      <c r="I196" s="759"/>
      <c r="J196" s="759"/>
      <c r="K196" s="759"/>
      <c r="L196" s="759"/>
      <c r="M196" s="759"/>
      <c r="N196" s="1353">
        <f>SUM(N191+N195)</f>
        <v>242936000</v>
      </c>
      <c r="O196" s="1353"/>
      <c r="P196" s="1354"/>
    </row>
    <row r="197" spans="1:16" ht="24" customHeight="1">
      <c r="A197" s="25"/>
      <c r="B197" s="27"/>
      <c r="C197" s="28">
        <v>4227</v>
      </c>
      <c r="D197" s="647"/>
      <c r="E197" s="647"/>
      <c r="F197" s="288"/>
      <c r="G197" s="764"/>
      <c r="H197" s="769"/>
      <c r="I197" s="769"/>
      <c r="J197" s="769"/>
      <c r="K197" s="769"/>
      <c r="L197" s="769"/>
      <c r="M197" s="1382" t="s">
        <v>3</v>
      </c>
      <c r="N197" s="1382"/>
      <c r="O197" s="1382"/>
      <c r="P197" s="1383"/>
    </row>
    <row r="198" spans="1:16" ht="30" customHeight="1">
      <c r="A198" s="25"/>
      <c r="B198" s="27"/>
      <c r="C198" s="27" t="s">
        <v>263</v>
      </c>
      <c r="D198" s="646">
        <v>25831</v>
      </c>
      <c r="E198" s="646">
        <v>28795</v>
      </c>
      <c r="F198" s="287">
        <f>D198-E198</f>
        <v>-2964</v>
      </c>
      <c r="G198" s="1435" t="s">
        <v>337</v>
      </c>
      <c r="H198" s="1351"/>
      <c r="I198" s="1046"/>
      <c r="J198" s="1046"/>
      <c r="K198" s="1353" t="s">
        <v>3</v>
      </c>
      <c r="L198" s="1353"/>
      <c r="M198" s="773"/>
      <c r="N198" s="1359" t="s">
        <v>3</v>
      </c>
      <c r="O198" s="1359"/>
      <c r="P198" s="1360"/>
    </row>
    <row r="199" spans="1:16" ht="26.25" customHeight="1">
      <c r="A199" s="25"/>
      <c r="B199" s="27"/>
      <c r="C199" s="27"/>
      <c r="D199" s="646"/>
      <c r="E199" s="646"/>
      <c r="F199" s="287"/>
      <c r="G199" s="759" t="s">
        <v>917</v>
      </c>
      <c r="H199" s="1046"/>
      <c r="I199" s="1046"/>
      <c r="J199" s="1046"/>
      <c r="K199" s="782"/>
      <c r="L199" s="760"/>
      <c r="M199" s="760"/>
      <c r="N199" s="761"/>
      <c r="O199" s="761"/>
      <c r="P199" s="762">
        <v>3000000</v>
      </c>
    </row>
    <row r="200" spans="1:16" ht="26.25" customHeight="1" hidden="1">
      <c r="A200" s="25"/>
      <c r="B200" s="27"/>
      <c r="C200" s="27"/>
      <c r="D200" s="646"/>
      <c r="E200" s="646"/>
      <c r="F200" s="287"/>
      <c r="G200" s="781"/>
      <c r="H200" s="1046"/>
      <c r="I200" s="1046"/>
      <c r="J200" s="1046"/>
      <c r="K200" s="782"/>
      <c r="L200" s="1351"/>
      <c r="M200" s="1351"/>
      <c r="N200" s="1353"/>
      <c r="O200" s="1353"/>
      <c r="P200" s="1354"/>
    </row>
    <row r="201" spans="1:16" ht="26.25" customHeight="1" hidden="1">
      <c r="A201" s="25"/>
      <c r="B201" s="27"/>
      <c r="C201" s="27"/>
      <c r="D201" s="646"/>
      <c r="E201" s="646"/>
      <c r="F201" s="287"/>
      <c r="G201" s="781"/>
      <c r="H201" s="1046"/>
      <c r="I201" s="1046"/>
      <c r="J201" s="1046"/>
      <c r="K201" s="782"/>
      <c r="L201" s="1351"/>
      <c r="M201" s="1351"/>
      <c r="N201" s="1353"/>
      <c r="O201" s="1353"/>
      <c r="P201" s="1354"/>
    </row>
    <row r="202" spans="1:16" ht="26.25" customHeight="1" hidden="1">
      <c r="A202" s="25"/>
      <c r="B202" s="27"/>
      <c r="C202" s="27"/>
      <c r="D202" s="646"/>
      <c r="E202" s="646"/>
      <c r="F202" s="287"/>
      <c r="G202" s="781"/>
      <c r="H202" s="1046"/>
      <c r="I202" s="1046"/>
      <c r="J202" s="1046"/>
      <c r="K202" s="782"/>
      <c r="L202" s="1351"/>
      <c r="M202" s="1351"/>
      <c r="N202" s="1353"/>
      <c r="O202" s="1353"/>
      <c r="P202" s="1354"/>
    </row>
    <row r="203" spans="1:16" ht="26.25" customHeight="1" hidden="1">
      <c r="A203" s="29"/>
      <c r="B203" s="30"/>
      <c r="C203" s="30"/>
      <c r="D203" s="648"/>
      <c r="E203" s="648"/>
      <c r="F203" s="289"/>
      <c r="G203" s="789"/>
      <c r="H203" s="1057"/>
      <c r="I203" s="1057"/>
      <c r="J203" s="1057"/>
      <c r="K203" s="1040"/>
      <c r="L203" s="1040"/>
      <c r="M203" s="1040"/>
      <c r="N203" s="1384"/>
      <c r="O203" s="1384"/>
      <c r="P203" s="1385"/>
    </row>
    <row r="204" spans="1:16" ht="26.25" customHeight="1" hidden="1">
      <c r="A204" s="25"/>
      <c r="B204" s="27"/>
      <c r="C204" s="27"/>
      <c r="D204" s="646"/>
      <c r="E204" s="646"/>
      <c r="F204" s="287"/>
      <c r="G204" s="781"/>
      <c r="H204" s="1046"/>
      <c r="I204" s="1046"/>
      <c r="J204" s="1046"/>
      <c r="K204" s="761"/>
      <c r="L204" s="761"/>
      <c r="M204" s="761"/>
      <c r="N204" s="1353"/>
      <c r="O204" s="1353"/>
      <c r="P204" s="1354"/>
    </row>
    <row r="205" spans="1:16" ht="26.25" customHeight="1" hidden="1">
      <c r="A205" s="25"/>
      <c r="B205" s="27"/>
      <c r="C205" s="27"/>
      <c r="D205" s="646"/>
      <c r="E205" s="646"/>
      <c r="F205" s="287"/>
      <c r="G205" s="781"/>
      <c r="H205" s="1046"/>
      <c r="I205" s="1046"/>
      <c r="J205" s="1046"/>
      <c r="K205" s="761"/>
      <c r="L205" s="761"/>
      <c r="M205" s="761"/>
      <c r="N205" s="1353"/>
      <c r="O205" s="1353"/>
      <c r="P205" s="1354"/>
    </row>
    <row r="206" spans="1:16" ht="26.25" customHeight="1">
      <c r="A206" s="25"/>
      <c r="B206" s="27"/>
      <c r="C206" s="27"/>
      <c r="D206" s="646"/>
      <c r="E206" s="646"/>
      <c r="F206" s="287"/>
      <c r="G206" s="781" t="s">
        <v>384</v>
      </c>
      <c r="H206" s="1046"/>
      <c r="I206" s="1046"/>
      <c r="J206" s="1046"/>
      <c r="K206" s="761"/>
      <c r="L206" s="761"/>
      <c r="M206" s="760"/>
      <c r="N206" s="1353">
        <f>SUM(M199:P205)</f>
        <v>3000000</v>
      </c>
      <c r="O206" s="1353"/>
      <c r="P206" s="1354"/>
    </row>
    <row r="207" spans="1:16" ht="23.25" customHeight="1">
      <c r="A207" s="25"/>
      <c r="B207" s="27"/>
      <c r="C207" s="27"/>
      <c r="D207" s="646"/>
      <c r="E207" s="646"/>
      <c r="F207" s="287"/>
      <c r="G207" s="781" t="s">
        <v>6</v>
      </c>
      <c r="H207" s="1046"/>
      <c r="I207" s="1046"/>
      <c r="J207" s="1046"/>
      <c r="K207" s="761"/>
      <c r="L207" s="761"/>
      <c r="M207" s="760"/>
      <c r="N207" s="1351" t="s">
        <v>3</v>
      </c>
      <c r="O207" s="1351"/>
      <c r="P207" s="1352"/>
    </row>
    <row r="208" spans="1:16" ht="27.75" customHeight="1" hidden="1">
      <c r="A208" s="25"/>
      <c r="B208" s="27"/>
      <c r="C208" s="27"/>
      <c r="D208" s="646"/>
      <c r="E208" s="646"/>
      <c r="F208" s="287"/>
      <c r="G208" s="1046"/>
      <c r="H208" s="773"/>
      <c r="I208" s="1046"/>
      <c r="J208" s="1046"/>
      <c r="K208" s="782"/>
      <c r="L208" s="1351"/>
      <c r="M208" s="1351"/>
      <c r="N208" s="1351"/>
      <c r="O208" s="1351"/>
      <c r="P208" s="1352"/>
    </row>
    <row r="209" spans="1:16" ht="27.75" customHeight="1" hidden="1">
      <c r="A209" s="25"/>
      <c r="B209" s="27"/>
      <c r="C209" s="27"/>
      <c r="D209" s="646"/>
      <c r="E209" s="646"/>
      <c r="F209" s="287"/>
      <c r="G209" s="1046"/>
      <c r="I209" s="1058"/>
      <c r="J209" s="1046"/>
      <c r="K209" s="782"/>
      <c r="L209" s="1351"/>
      <c r="M209" s="1351"/>
      <c r="N209" s="1351"/>
      <c r="O209" s="1351"/>
      <c r="P209" s="1352"/>
    </row>
    <row r="210" spans="1:16" ht="27.75" customHeight="1">
      <c r="A210" s="25"/>
      <c r="B210" s="27"/>
      <c r="C210" s="27"/>
      <c r="D210" s="646"/>
      <c r="E210" s="646"/>
      <c r="F210" s="287"/>
      <c r="G210" s="1366" t="s">
        <v>972</v>
      </c>
      <c r="H210" s="1370"/>
      <c r="I210" s="1048"/>
      <c r="J210" s="1046" t="s">
        <v>191</v>
      </c>
      <c r="K210" s="782" t="s">
        <v>105</v>
      </c>
      <c r="L210" s="1351">
        <v>1902583</v>
      </c>
      <c r="M210" s="1351"/>
      <c r="N210" s="1351">
        <v>22831000</v>
      </c>
      <c r="O210" s="1351"/>
      <c r="P210" s="1352"/>
    </row>
    <row r="211" spans="1:16" ht="27.75" customHeight="1">
      <c r="A211" s="25"/>
      <c r="B211" s="27"/>
      <c r="C211" s="27"/>
      <c r="D211" s="646"/>
      <c r="E211" s="646"/>
      <c r="F211" s="287"/>
      <c r="G211" s="781" t="s">
        <v>359</v>
      </c>
      <c r="H211" s="1048"/>
      <c r="I211" s="1048"/>
      <c r="J211" s="1046"/>
      <c r="K211" s="782"/>
      <c r="L211" s="760"/>
      <c r="M211" s="760"/>
      <c r="N211" s="760"/>
      <c r="O211" s="760"/>
      <c r="P211" s="788">
        <f>SUM(N208:P210)</f>
        <v>22831000</v>
      </c>
    </row>
    <row r="212" spans="1:16" ht="27.75" customHeight="1">
      <c r="A212" s="25"/>
      <c r="B212" s="27"/>
      <c r="C212" s="24"/>
      <c r="D212" s="645"/>
      <c r="E212" s="645"/>
      <c r="F212" s="286"/>
      <c r="G212" s="777" t="s">
        <v>4</v>
      </c>
      <c r="H212" s="756"/>
      <c r="I212" s="756"/>
      <c r="J212" s="756"/>
      <c r="K212" s="756"/>
      <c r="L212" s="756"/>
      <c r="M212" s="768" t="s">
        <v>3</v>
      </c>
      <c r="N212" s="1378">
        <f>SUM(N206+P211)</f>
        <v>25831000</v>
      </c>
      <c r="O212" s="1378"/>
      <c r="P212" s="1379"/>
    </row>
    <row r="213" spans="1:16" ht="32.25" customHeight="1">
      <c r="A213" s="25"/>
      <c r="B213" s="27"/>
      <c r="C213" s="27">
        <v>4228</v>
      </c>
      <c r="D213" s="646"/>
      <c r="E213" s="646"/>
      <c r="F213" s="287"/>
      <c r="G213" s="773"/>
      <c r="H213" s="759"/>
      <c r="I213" s="759"/>
      <c r="J213" s="759"/>
      <c r="K213" s="759"/>
      <c r="L213" s="759"/>
      <c r="M213" s="759"/>
      <c r="N213" s="761"/>
      <c r="O213" s="761"/>
      <c r="P213" s="762"/>
    </row>
    <row r="214" spans="1:16" ht="32.25" customHeight="1">
      <c r="A214" s="25"/>
      <c r="B214" s="27"/>
      <c r="C214" s="27" t="s">
        <v>264</v>
      </c>
      <c r="D214" s="646">
        <v>16363</v>
      </c>
      <c r="E214" s="646">
        <v>35300</v>
      </c>
      <c r="F214" s="287">
        <f>D214-E214</f>
        <v>-18937</v>
      </c>
      <c r="G214" s="1368" t="s">
        <v>337</v>
      </c>
      <c r="H214" s="1369"/>
      <c r="I214" s="1369"/>
      <c r="J214" s="1369"/>
      <c r="K214" s="1369"/>
      <c r="L214" s="1369"/>
      <c r="M214" s="1369"/>
      <c r="N214" s="1359" t="s">
        <v>3</v>
      </c>
      <c r="O214" s="1359"/>
      <c r="P214" s="1360"/>
    </row>
    <row r="215" spans="1:16" ht="32.25" customHeight="1">
      <c r="A215" s="25"/>
      <c r="B215" s="27"/>
      <c r="C215" s="27"/>
      <c r="D215" s="646"/>
      <c r="E215" s="646"/>
      <c r="F215" s="287"/>
      <c r="G215" s="759" t="s">
        <v>919</v>
      </c>
      <c r="H215" s="1048"/>
      <c r="I215" s="1048"/>
      <c r="J215" s="1048"/>
      <c r="K215" s="1048"/>
      <c r="L215" s="1048"/>
      <c r="M215" s="1048"/>
      <c r="N215" s="1353">
        <v>300000</v>
      </c>
      <c r="O215" s="1353"/>
      <c r="P215" s="1354"/>
    </row>
    <row r="216" spans="1:16" ht="32.25" customHeight="1" hidden="1">
      <c r="A216" s="25"/>
      <c r="B216" s="27"/>
      <c r="C216" s="27"/>
      <c r="D216" s="646"/>
      <c r="E216" s="646"/>
      <c r="F216" s="287"/>
      <c r="G216" s="759"/>
      <c r="H216" s="1048"/>
      <c r="I216" s="1048"/>
      <c r="J216" s="1048"/>
      <c r="K216" s="1048"/>
      <c r="L216" s="1048"/>
      <c r="M216" s="1048"/>
      <c r="N216" s="1353"/>
      <c r="O216" s="1353"/>
      <c r="P216" s="1354"/>
    </row>
    <row r="217" spans="1:16" ht="32.25" customHeight="1" hidden="1">
      <c r="A217" s="25"/>
      <c r="B217" s="27"/>
      <c r="C217" s="27"/>
      <c r="D217" s="646"/>
      <c r="E217" s="646"/>
      <c r="F217" s="287"/>
      <c r="G217" s="759"/>
      <c r="H217" s="1048"/>
      <c r="I217" s="1048"/>
      <c r="J217" s="1048"/>
      <c r="K217" s="1048"/>
      <c r="L217" s="1048"/>
      <c r="M217" s="1048"/>
      <c r="N217" s="1353"/>
      <c r="O217" s="1353"/>
      <c r="P217" s="1354"/>
    </row>
    <row r="218" spans="1:16" ht="32.25" customHeight="1">
      <c r="A218" s="25"/>
      <c r="B218" s="27"/>
      <c r="C218" s="27"/>
      <c r="D218" s="646"/>
      <c r="E218" s="646"/>
      <c r="F218" s="287"/>
      <c r="G218" s="781" t="s">
        <v>384</v>
      </c>
      <c r="H218" s="1048"/>
      <c r="I218" s="1048"/>
      <c r="J218" s="1048"/>
      <c r="K218" s="1048"/>
      <c r="L218" s="1048"/>
      <c r="M218" s="1048"/>
      <c r="N218" s="1353">
        <f>SUM(N215:P217)</f>
        <v>300000</v>
      </c>
      <c r="O218" s="1353"/>
      <c r="P218" s="1354"/>
    </row>
    <row r="219" spans="1:16" ht="32.25" customHeight="1">
      <c r="A219" s="25"/>
      <c r="B219" s="27"/>
      <c r="C219" s="27"/>
      <c r="D219" s="646"/>
      <c r="E219" s="646"/>
      <c r="F219" s="287"/>
      <c r="G219" s="759" t="s">
        <v>6</v>
      </c>
      <c r="H219" s="1048"/>
      <c r="I219" s="1048"/>
      <c r="J219" s="1048"/>
      <c r="K219" s="1048"/>
      <c r="L219" s="1048"/>
      <c r="M219" s="1048"/>
      <c r="N219" s="1351" t="s">
        <v>3</v>
      </c>
      <c r="O219" s="1351"/>
      <c r="P219" s="1352"/>
    </row>
    <row r="220" spans="1:16" ht="32.25" customHeight="1" hidden="1">
      <c r="A220" s="29"/>
      <c r="B220" s="30"/>
      <c r="C220" s="30"/>
      <c r="D220" s="648"/>
      <c r="E220" s="648"/>
      <c r="F220" s="289"/>
      <c r="G220" s="1433"/>
      <c r="H220" s="1434"/>
      <c r="I220" s="1434"/>
      <c r="J220" s="1434"/>
      <c r="K220" s="1434"/>
      <c r="L220" s="1066"/>
      <c r="M220" s="1066"/>
      <c r="N220" s="1384"/>
      <c r="O220" s="1384"/>
      <c r="P220" s="1385"/>
    </row>
    <row r="221" spans="1:16" ht="32.25" customHeight="1" hidden="1">
      <c r="A221" s="25"/>
      <c r="B221" s="27"/>
      <c r="C221" s="27"/>
      <c r="D221" s="646"/>
      <c r="E221" s="646"/>
      <c r="F221" s="287"/>
      <c r="G221" s="1366"/>
      <c r="H221" s="1370"/>
      <c r="I221" s="1370"/>
      <c r="J221" s="1370"/>
      <c r="K221" s="1370"/>
      <c r="L221" s="1059"/>
      <c r="M221" s="1059"/>
      <c r="N221" s="1353"/>
      <c r="O221" s="1353"/>
      <c r="P221" s="1354"/>
    </row>
    <row r="222" spans="1:16" ht="32.25" customHeight="1" hidden="1">
      <c r="A222" s="25"/>
      <c r="B222" s="27"/>
      <c r="C222" s="27"/>
      <c r="D222" s="646"/>
      <c r="E222" s="646"/>
      <c r="F222" s="287"/>
      <c r="G222" s="1366"/>
      <c r="H222" s="1370"/>
      <c r="I222" s="1370"/>
      <c r="J222" s="1370"/>
      <c r="K222" s="1370"/>
      <c r="L222" s="1059"/>
      <c r="M222" s="1059"/>
      <c r="N222" s="761"/>
      <c r="O222" s="761"/>
      <c r="P222" s="762"/>
    </row>
    <row r="223" spans="1:16" ht="32.25" customHeight="1" hidden="1">
      <c r="A223" s="25"/>
      <c r="B223" s="27"/>
      <c r="C223" s="27"/>
      <c r="D223" s="646"/>
      <c r="E223" s="646"/>
      <c r="F223" s="287"/>
      <c r="G223" s="1366"/>
      <c r="H223" s="1370"/>
      <c r="I223" s="1370"/>
      <c r="J223" s="1370"/>
      <c r="K223" s="1370"/>
      <c r="L223" s="1059"/>
      <c r="M223" s="1059"/>
      <c r="N223" s="1353"/>
      <c r="O223" s="1353"/>
      <c r="P223" s="1354"/>
    </row>
    <row r="224" spans="1:16" ht="32.25" customHeight="1" hidden="1">
      <c r="A224" s="25"/>
      <c r="B224" s="27"/>
      <c r="C224" s="27"/>
      <c r="D224" s="646"/>
      <c r="E224" s="646"/>
      <c r="F224" s="287"/>
      <c r="G224" s="1366"/>
      <c r="H224" s="1370"/>
      <c r="I224" s="1370"/>
      <c r="J224" s="1370"/>
      <c r="K224" s="1370"/>
      <c r="L224" s="1059"/>
      <c r="M224" s="1059"/>
      <c r="N224" s="1353"/>
      <c r="O224" s="1353"/>
      <c r="P224" s="1354"/>
    </row>
    <row r="225" spans="1:16" ht="32.25" customHeight="1" hidden="1">
      <c r="A225" s="25"/>
      <c r="B225" s="27"/>
      <c r="C225" s="27"/>
      <c r="D225" s="646"/>
      <c r="E225" s="646"/>
      <c r="F225" s="287"/>
      <c r="G225" s="1366"/>
      <c r="H225" s="1370"/>
      <c r="I225" s="1370"/>
      <c r="J225" s="1370"/>
      <c r="K225" s="1370"/>
      <c r="L225" s="1059"/>
      <c r="M225" s="1059"/>
      <c r="N225" s="1353"/>
      <c r="O225" s="1353"/>
      <c r="P225" s="1354"/>
    </row>
    <row r="226" spans="1:16" ht="32.25" customHeight="1" hidden="1">
      <c r="A226" s="25"/>
      <c r="B226" s="27"/>
      <c r="C226" s="27"/>
      <c r="D226" s="646"/>
      <c r="E226" s="646"/>
      <c r="F226" s="287"/>
      <c r="G226" s="1366"/>
      <c r="H226" s="1370"/>
      <c r="I226" s="1370"/>
      <c r="J226" s="1370"/>
      <c r="K226" s="1370"/>
      <c r="L226" s="1059"/>
      <c r="M226" s="1059"/>
      <c r="N226" s="1353"/>
      <c r="O226" s="1353"/>
      <c r="P226" s="1354"/>
    </row>
    <row r="227" spans="1:16" ht="32.25" customHeight="1" hidden="1">
      <c r="A227" s="25"/>
      <c r="B227" s="27"/>
      <c r="C227" s="27"/>
      <c r="D227" s="646"/>
      <c r="E227" s="646"/>
      <c r="F227" s="287"/>
      <c r="G227" s="1366"/>
      <c r="H227" s="1370"/>
      <c r="I227" s="1370"/>
      <c r="J227" s="1370"/>
      <c r="K227" s="1370"/>
      <c r="L227" s="1059"/>
      <c r="M227" s="1059"/>
      <c r="N227" s="1353"/>
      <c r="O227" s="1353"/>
      <c r="P227" s="1354"/>
    </row>
    <row r="228" spans="1:16" ht="32.25" customHeight="1">
      <c r="A228" s="25"/>
      <c r="B228" s="27"/>
      <c r="C228" s="27"/>
      <c r="D228" s="646"/>
      <c r="E228" s="646"/>
      <c r="F228" s="287"/>
      <c r="G228" s="1366" t="s">
        <v>1182</v>
      </c>
      <c r="H228" s="1370"/>
      <c r="I228" s="1370"/>
      <c r="J228" s="1370"/>
      <c r="K228" s="1370"/>
      <c r="L228" s="1370"/>
      <c r="M228" s="1370"/>
      <c r="N228" s="1353">
        <v>16063000</v>
      </c>
      <c r="O228" s="1353"/>
      <c r="P228" s="1354"/>
    </row>
    <row r="229" spans="1:16" ht="32.25" customHeight="1">
      <c r="A229" s="25"/>
      <c r="B229" s="27"/>
      <c r="C229" s="27"/>
      <c r="D229" s="646"/>
      <c r="E229" s="646"/>
      <c r="F229" s="287"/>
      <c r="G229" s="781" t="s">
        <v>359</v>
      </c>
      <c r="H229" s="759"/>
      <c r="I229" s="759"/>
      <c r="J229" s="759"/>
      <c r="K229" s="759"/>
      <c r="L229" s="759"/>
      <c r="M229" s="760" t="s">
        <v>3</v>
      </c>
      <c r="N229" s="1351">
        <f>SUM(N220:P228)</f>
        <v>16063000</v>
      </c>
      <c r="O229" s="1351"/>
      <c r="P229" s="1352"/>
    </row>
    <row r="230" spans="1:16" ht="32.25" customHeight="1">
      <c r="A230" s="25"/>
      <c r="B230" s="27"/>
      <c r="C230" s="232"/>
      <c r="D230" s="652"/>
      <c r="E230" s="652"/>
      <c r="F230" s="293"/>
      <c r="G230" s="777" t="s">
        <v>4</v>
      </c>
      <c r="H230" s="802"/>
      <c r="I230" s="802"/>
      <c r="J230" s="802"/>
      <c r="K230" s="802"/>
      <c r="L230" s="802"/>
      <c r="M230" s="1034" t="s">
        <v>3</v>
      </c>
      <c r="N230" s="1371">
        <f>SUM(N218+N229)</f>
        <v>16363000</v>
      </c>
      <c r="O230" s="1371"/>
      <c r="P230" s="1372"/>
    </row>
    <row r="231" spans="1:16" ht="26.25" customHeight="1">
      <c r="A231" s="25"/>
      <c r="B231" s="27"/>
      <c r="C231" s="27">
        <v>4229</v>
      </c>
      <c r="D231" s="646"/>
      <c r="E231" s="646"/>
      <c r="F231" s="287"/>
      <c r="G231" s="776"/>
      <c r="H231" s="774"/>
      <c r="I231" s="774"/>
      <c r="J231" s="774"/>
      <c r="K231" s="774"/>
      <c r="L231" s="774"/>
      <c r="M231" s="774"/>
      <c r="N231" s="761"/>
      <c r="O231" s="761"/>
      <c r="P231" s="762"/>
    </row>
    <row r="232" spans="1:16" ht="30" customHeight="1">
      <c r="A232" s="25"/>
      <c r="B232" s="27"/>
      <c r="C232" s="27" t="s">
        <v>265</v>
      </c>
      <c r="D232" s="646">
        <v>77954</v>
      </c>
      <c r="E232" s="655">
        <v>47000</v>
      </c>
      <c r="F232" s="287">
        <f>D232-E232</f>
        <v>30954</v>
      </c>
      <c r="G232" s="781" t="s">
        <v>337</v>
      </c>
      <c r="H232" s="796"/>
      <c r="I232" s="759"/>
      <c r="J232" s="759"/>
      <c r="K232" s="759"/>
      <c r="L232" s="759"/>
      <c r="M232" s="759"/>
      <c r="N232" s="1359" t="s">
        <v>3</v>
      </c>
      <c r="O232" s="1359"/>
      <c r="P232" s="1360"/>
    </row>
    <row r="233" spans="1:16" ht="30" customHeight="1">
      <c r="A233" s="25"/>
      <c r="B233" s="27"/>
      <c r="C233" s="27"/>
      <c r="D233" s="646"/>
      <c r="E233" s="646"/>
      <c r="F233" s="287"/>
      <c r="G233" s="781" t="s">
        <v>922</v>
      </c>
      <c r="H233" s="759"/>
      <c r="I233" s="759"/>
      <c r="J233" s="759"/>
      <c r="K233" s="759"/>
      <c r="L233" s="759"/>
      <c r="M233" s="760"/>
      <c r="N233" s="1353">
        <v>5000000</v>
      </c>
      <c r="O233" s="1353"/>
      <c r="P233" s="1354"/>
    </row>
    <row r="234" spans="1:16" ht="30" customHeight="1" hidden="1">
      <c r="A234" s="25"/>
      <c r="B234" s="27"/>
      <c r="C234" s="27"/>
      <c r="D234" s="646"/>
      <c r="E234" s="646"/>
      <c r="F234" s="287"/>
      <c r="G234" s="781"/>
      <c r="H234" s="759"/>
      <c r="I234" s="759"/>
      <c r="J234" s="759"/>
      <c r="K234" s="759"/>
      <c r="L234" s="759"/>
      <c r="M234" s="760"/>
      <c r="N234" s="1353"/>
      <c r="O234" s="1353"/>
      <c r="P234" s="1354"/>
    </row>
    <row r="235" spans="1:16" ht="30" customHeight="1">
      <c r="A235" s="25"/>
      <c r="B235" s="27"/>
      <c r="C235" s="27"/>
      <c r="D235" s="646"/>
      <c r="E235" s="646"/>
      <c r="F235" s="287"/>
      <c r="G235" s="781" t="s">
        <v>384</v>
      </c>
      <c r="H235" s="759"/>
      <c r="I235" s="759"/>
      <c r="J235" s="759"/>
      <c r="K235" s="759"/>
      <c r="L235" s="759"/>
      <c r="M235" s="760"/>
      <c r="N235" s="1353">
        <f>SUM(N233:P234)</f>
        <v>5000000</v>
      </c>
      <c r="O235" s="1353"/>
      <c r="P235" s="1354"/>
    </row>
    <row r="236" spans="1:16" ht="30" customHeight="1">
      <c r="A236" s="25"/>
      <c r="B236" s="27"/>
      <c r="C236" s="27"/>
      <c r="D236" s="646"/>
      <c r="E236" s="646"/>
      <c r="F236" s="287"/>
      <c r="G236" s="781" t="s">
        <v>6</v>
      </c>
      <c r="H236" s="759"/>
      <c r="I236" s="759"/>
      <c r="J236" s="759"/>
      <c r="K236" s="759"/>
      <c r="L236" s="759"/>
      <c r="M236" s="760"/>
      <c r="N236" s="1351" t="s">
        <v>3</v>
      </c>
      <c r="O236" s="1351"/>
      <c r="P236" s="1352"/>
    </row>
    <row r="237" spans="1:16" ht="30" customHeight="1">
      <c r="A237" s="25"/>
      <c r="B237" s="27"/>
      <c r="C237" s="27"/>
      <c r="D237" s="646"/>
      <c r="E237" s="646"/>
      <c r="F237" s="287"/>
      <c r="G237" s="781" t="s">
        <v>1183</v>
      </c>
      <c r="H237" s="759"/>
      <c r="I237" s="759"/>
      <c r="J237" s="759"/>
      <c r="K237" s="759"/>
      <c r="L237" s="759"/>
      <c r="M237" s="760"/>
      <c r="N237" s="761"/>
      <c r="O237" s="761"/>
      <c r="P237" s="762">
        <v>40000000</v>
      </c>
    </row>
    <row r="238" spans="1:16" ht="30" customHeight="1">
      <c r="A238" s="25"/>
      <c r="B238" s="27"/>
      <c r="C238" s="27"/>
      <c r="D238" s="646"/>
      <c r="E238" s="646"/>
      <c r="F238" s="287"/>
      <c r="G238" s="1368" t="s">
        <v>1035</v>
      </c>
      <c r="H238" s="1369"/>
      <c r="I238" s="1369"/>
      <c r="J238" s="1369"/>
      <c r="K238" s="759"/>
      <c r="L238" s="759"/>
      <c r="M238" s="760" t="s">
        <v>3</v>
      </c>
      <c r="N238" s="1351">
        <v>32954000</v>
      </c>
      <c r="O238" s="1351"/>
      <c r="P238" s="1352"/>
    </row>
    <row r="239" spans="1:16" ht="30" customHeight="1">
      <c r="A239" s="25"/>
      <c r="B239" s="27"/>
      <c r="C239" s="27"/>
      <c r="D239" s="646"/>
      <c r="E239" s="646"/>
      <c r="F239" s="287"/>
      <c r="G239" s="781" t="s">
        <v>359</v>
      </c>
      <c r="H239" s="766"/>
      <c r="I239" s="766"/>
      <c r="J239" s="766"/>
      <c r="K239" s="759"/>
      <c r="L239" s="759"/>
      <c r="M239" s="760"/>
      <c r="N239" s="760"/>
      <c r="O239" s="760"/>
      <c r="P239" s="788">
        <f>SUM(N237:P238)</f>
        <v>72954000</v>
      </c>
    </row>
    <row r="240" spans="1:16" ht="30" customHeight="1">
      <c r="A240" s="25"/>
      <c r="B240" s="24"/>
      <c r="C240" s="24"/>
      <c r="D240" s="645"/>
      <c r="E240" s="645"/>
      <c r="F240" s="286"/>
      <c r="G240" s="777" t="s">
        <v>4</v>
      </c>
      <c r="H240" s="756"/>
      <c r="I240" s="756"/>
      <c r="J240" s="756"/>
      <c r="K240" s="756"/>
      <c r="L240" s="756"/>
      <c r="M240" s="756" t="s">
        <v>3</v>
      </c>
      <c r="N240" s="1378">
        <f>SUM(N235+P239)</f>
        <v>77954000</v>
      </c>
      <c r="O240" s="1378"/>
      <c r="P240" s="1379"/>
    </row>
    <row r="241" spans="1:16" ht="30" customHeight="1">
      <c r="A241" s="25"/>
      <c r="B241" s="27">
        <v>4230</v>
      </c>
      <c r="C241" s="27"/>
      <c r="D241" s="646"/>
      <c r="E241" s="646"/>
      <c r="F241" s="287"/>
      <c r="G241" s="781"/>
      <c r="H241" s="759"/>
      <c r="I241" s="759"/>
      <c r="J241" s="759"/>
      <c r="K241" s="759"/>
      <c r="L241" s="759"/>
      <c r="M241" s="760"/>
      <c r="N241" s="761"/>
      <c r="O241" s="761"/>
      <c r="P241" s="762"/>
    </row>
    <row r="242" spans="1:16" ht="30" customHeight="1">
      <c r="A242" s="25"/>
      <c r="B242" s="27" t="s">
        <v>107</v>
      </c>
      <c r="C242" s="27"/>
      <c r="D242" s="646">
        <f>D244+D248+D251+D254+D257+D261+D264+D267+D270</f>
        <v>639794</v>
      </c>
      <c r="E242" s="646">
        <f>E244+E248+E251+E254+E257+E261+E264+E267+E270</f>
        <v>702000</v>
      </c>
      <c r="F242" s="286">
        <f>D242-E242</f>
        <v>-62206</v>
      </c>
      <c r="G242" s="759"/>
      <c r="H242" s="759"/>
      <c r="I242" s="759"/>
      <c r="J242" s="759"/>
      <c r="K242" s="759"/>
      <c r="L242" s="759"/>
      <c r="M242" s="760"/>
      <c r="N242" s="761"/>
      <c r="O242" s="761"/>
      <c r="P242" s="762"/>
    </row>
    <row r="243" spans="1:16" ht="30" customHeight="1">
      <c r="A243" s="25"/>
      <c r="B243" s="27"/>
      <c r="C243" s="28">
        <v>4231</v>
      </c>
      <c r="D243" s="647"/>
      <c r="E243" s="647"/>
      <c r="F243" s="288"/>
      <c r="G243" s="1436" t="s">
        <v>6</v>
      </c>
      <c r="H243" s="1437"/>
      <c r="I243" s="1437"/>
      <c r="J243" s="1067"/>
      <c r="K243" s="1067"/>
      <c r="L243" s="1067"/>
      <c r="M243" s="1067"/>
      <c r="N243" s="1382" t="s">
        <v>3</v>
      </c>
      <c r="O243" s="1382"/>
      <c r="P243" s="1383"/>
    </row>
    <row r="244" spans="1:16" ht="30" customHeight="1">
      <c r="A244" s="25"/>
      <c r="B244" s="27"/>
      <c r="C244" s="27" t="s">
        <v>267</v>
      </c>
      <c r="D244" s="646">
        <v>3190</v>
      </c>
      <c r="E244" s="646">
        <v>4000</v>
      </c>
      <c r="F244" s="287">
        <f>D244-E244</f>
        <v>-810</v>
      </c>
      <c r="G244" s="1373" t="s">
        <v>1184</v>
      </c>
      <c r="H244" s="1374"/>
      <c r="I244" s="1374"/>
      <c r="J244" s="1374"/>
      <c r="K244" s="1374"/>
      <c r="L244" s="1374"/>
      <c r="M244" s="1374"/>
      <c r="N244" s="1353">
        <v>3190000</v>
      </c>
      <c r="O244" s="1353"/>
      <c r="P244" s="1354"/>
    </row>
    <row r="245" spans="1:16" ht="26.25" customHeight="1">
      <c r="A245" s="25"/>
      <c r="B245" s="27"/>
      <c r="C245" s="27"/>
      <c r="D245" s="646"/>
      <c r="E245" s="646"/>
      <c r="F245" s="287"/>
      <c r="G245" s="781" t="s">
        <v>359</v>
      </c>
      <c r="H245" s="759"/>
      <c r="I245" s="759"/>
      <c r="J245" s="759"/>
      <c r="K245" s="759"/>
      <c r="L245" s="759"/>
      <c r="M245" s="760" t="s">
        <v>3</v>
      </c>
      <c r="N245" s="1351">
        <f>N244</f>
        <v>3190000</v>
      </c>
      <c r="O245" s="1351"/>
      <c r="P245" s="1352"/>
    </row>
    <row r="246" spans="1:16" ht="26.25" customHeight="1">
      <c r="A246" s="25"/>
      <c r="B246" s="27"/>
      <c r="C246" s="306"/>
      <c r="D246" s="650"/>
      <c r="E246" s="650"/>
      <c r="F246" s="294"/>
      <c r="G246" s="791"/>
      <c r="H246" s="791"/>
      <c r="I246" s="791"/>
      <c r="J246" s="791"/>
      <c r="K246" s="791"/>
      <c r="L246" s="791"/>
      <c r="M246" s="1037"/>
      <c r="N246" s="1378"/>
      <c r="O246" s="1378"/>
      <c r="P246" s="1379"/>
    </row>
    <row r="247" spans="1:16" ht="25.5" customHeight="1">
      <c r="A247" s="25"/>
      <c r="B247" s="27"/>
      <c r="C247" s="27">
        <v>4232</v>
      </c>
      <c r="D247" s="646"/>
      <c r="E247" s="646"/>
      <c r="F247" s="287"/>
      <c r="G247" s="781"/>
      <c r="H247" s="796"/>
      <c r="I247" s="759"/>
      <c r="J247" s="759"/>
      <c r="K247" s="759"/>
      <c r="L247" s="759"/>
      <c r="M247" s="759"/>
      <c r="N247" s="1359" t="s">
        <v>3</v>
      </c>
      <c r="O247" s="1359"/>
      <c r="P247" s="1360"/>
    </row>
    <row r="248" spans="1:16" ht="27" customHeight="1">
      <c r="A248" s="25"/>
      <c r="B248" s="27"/>
      <c r="C248" s="325" t="s">
        <v>268</v>
      </c>
      <c r="D248" s="655">
        <v>184</v>
      </c>
      <c r="E248" s="946">
        <v>10000</v>
      </c>
      <c r="F248" s="326">
        <f>D248-E248</f>
        <v>-9816</v>
      </c>
      <c r="G248" s="781" t="s">
        <v>922</v>
      </c>
      <c r="H248" s="759"/>
      <c r="I248" s="759"/>
      <c r="J248" s="759"/>
      <c r="K248" s="759"/>
      <c r="L248" s="759"/>
      <c r="M248" s="760"/>
      <c r="N248" s="1353">
        <v>184000</v>
      </c>
      <c r="O248" s="1353"/>
      <c r="P248" s="1354"/>
    </row>
    <row r="249" spans="1:16" ht="27" customHeight="1">
      <c r="A249" s="25"/>
      <c r="B249" s="27"/>
      <c r="C249" s="306"/>
      <c r="D249" s="650"/>
      <c r="E249" s="650"/>
      <c r="F249" s="294"/>
      <c r="G249" s="777" t="s">
        <v>384</v>
      </c>
      <c r="H249" s="756"/>
      <c r="I249" s="756"/>
      <c r="J249" s="756"/>
      <c r="K249" s="756"/>
      <c r="L249" s="756"/>
      <c r="M249" s="768"/>
      <c r="N249" s="1375">
        <f>SUM(N247:P248)</f>
        <v>184000</v>
      </c>
      <c r="O249" s="1375"/>
      <c r="P249" s="1376"/>
    </row>
    <row r="250" spans="1:16" ht="30" customHeight="1">
      <c r="A250" s="25"/>
      <c r="B250" s="27"/>
      <c r="C250" s="27">
        <v>4233</v>
      </c>
      <c r="D250" s="646"/>
      <c r="E250" s="646"/>
      <c r="F250" s="287"/>
      <c r="G250" s="640"/>
      <c r="H250" s="774"/>
      <c r="I250" s="774"/>
      <c r="J250" s="774"/>
      <c r="K250" s="774"/>
      <c r="L250" s="774"/>
      <c r="M250" s="760"/>
      <c r="N250" s="761"/>
      <c r="O250" s="761"/>
      <c r="P250" s="762"/>
    </row>
    <row r="251" spans="1:16" ht="30" customHeight="1">
      <c r="A251" s="25"/>
      <c r="B251" s="27"/>
      <c r="C251" s="27" t="s">
        <v>269</v>
      </c>
      <c r="D251" s="653">
        <v>0</v>
      </c>
      <c r="E251" s="653">
        <v>0</v>
      </c>
      <c r="F251" s="287">
        <f>D251-E251</f>
        <v>0</v>
      </c>
      <c r="G251" s="781"/>
      <c r="H251" s="805"/>
      <c r="I251" s="805"/>
      <c r="J251" s="805"/>
      <c r="K251" s="805"/>
      <c r="L251" s="805"/>
      <c r="M251" s="805"/>
      <c r="N251" s="805"/>
      <c r="O251" s="805"/>
      <c r="P251" s="804"/>
    </row>
    <row r="252" spans="1:16" ht="30" customHeight="1">
      <c r="A252" s="25"/>
      <c r="B252" s="27"/>
      <c r="C252" s="27"/>
      <c r="D252" s="653"/>
      <c r="E252" s="653"/>
      <c r="F252" s="287"/>
      <c r="G252" s="777"/>
      <c r="H252" s="803"/>
      <c r="I252" s="773"/>
      <c r="J252" s="773"/>
      <c r="K252" s="782"/>
      <c r="L252" s="795"/>
      <c r="M252" s="795"/>
      <c r="N252" s="761"/>
      <c r="O252" s="761"/>
      <c r="P252" s="762"/>
    </row>
    <row r="253" spans="1:16" ht="23.25" customHeight="1">
      <c r="A253" s="25"/>
      <c r="B253" s="27"/>
      <c r="C253" s="28">
        <v>4234</v>
      </c>
      <c r="D253" s="647"/>
      <c r="E253" s="647"/>
      <c r="F253" s="288"/>
      <c r="G253" s="781"/>
      <c r="H253" s="769"/>
      <c r="I253" s="769"/>
      <c r="J253" s="769"/>
      <c r="K253" s="769"/>
      <c r="L253" s="769"/>
      <c r="M253" s="769"/>
      <c r="N253" s="798"/>
      <c r="O253" s="1362"/>
      <c r="P253" s="1363"/>
    </row>
    <row r="254" spans="1:16" ht="32.25" customHeight="1">
      <c r="A254" s="25"/>
      <c r="B254" s="27"/>
      <c r="C254" s="27" t="s">
        <v>270</v>
      </c>
      <c r="D254" s="646">
        <v>0</v>
      </c>
      <c r="E254" s="646">
        <v>0</v>
      </c>
      <c r="F254" s="287">
        <f>D254-E254</f>
        <v>0</v>
      </c>
      <c r="G254" s="781"/>
      <c r="H254" s="667"/>
      <c r="I254" s="667"/>
      <c r="J254" s="667"/>
      <c r="K254" s="667"/>
      <c r="L254" s="667"/>
      <c r="M254" s="667"/>
      <c r="N254" s="1351"/>
      <c r="O254" s="1351"/>
      <c r="P254" s="1352"/>
    </row>
    <row r="255" spans="1:16" ht="32.25" customHeight="1">
      <c r="A255" s="25"/>
      <c r="B255" s="27"/>
      <c r="C255" s="306"/>
      <c r="D255" s="650"/>
      <c r="E255" s="650"/>
      <c r="F255" s="294"/>
      <c r="G255" s="777"/>
      <c r="H255" s="806"/>
      <c r="I255" s="806"/>
      <c r="J255" s="806"/>
      <c r="K255" s="1035"/>
      <c r="L255" s="1035"/>
      <c r="M255" s="1035"/>
      <c r="N255" s="1375"/>
      <c r="O255" s="1375"/>
      <c r="P255" s="1376"/>
    </row>
    <row r="256" spans="1:16" ht="30" customHeight="1">
      <c r="A256" s="25"/>
      <c r="B256" s="27"/>
      <c r="C256" s="27">
        <v>4235</v>
      </c>
      <c r="D256" s="646"/>
      <c r="E256" s="646"/>
      <c r="F256" s="287"/>
      <c r="G256" s="781" t="s">
        <v>6</v>
      </c>
      <c r="H256" s="796"/>
      <c r="I256" s="759"/>
      <c r="J256" s="759"/>
      <c r="K256" s="759"/>
      <c r="L256" s="759"/>
      <c r="M256" s="759"/>
      <c r="N256" s="760"/>
      <c r="O256" s="760"/>
      <c r="P256" s="788"/>
    </row>
    <row r="257" spans="1:16" ht="30" customHeight="1">
      <c r="A257" s="25"/>
      <c r="B257" s="27"/>
      <c r="C257" s="27" t="s">
        <v>271</v>
      </c>
      <c r="D257" s="646">
        <v>30651</v>
      </c>
      <c r="E257" s="655">
        <v>106000</v>
      </c>
      <c r="F257" s="287">
        <f>D257-E257</f>
        <v>-75349</v>
      </c>
      <c r="G257" s="781" t="s">
        <v>1185</v>
      </c>
      <c r="H257" s="796"/>
      <c r="I257" s="759"/>
      <c r="J257" s="759"/>
      <c r="K257" s="759"/>
      <c r="L257" s="759"/>
      <c r="M257" s="759"/>
      <c r="N257" s="761"/>
      <c r="O257" s="761"/>
      <c r="P257" s="788">
        <v>20000000</v>
      </c>
    </row>
    <row r="258" spans="1:16" ht="30" customHeight="1">
      <c r="A258" s="25"/>
      <c r="B258" s="27"/>
      <c r="C258" s="27"/>
      <c r="D258" s="646"/>
      <c r="E258" s="646"/>
      <c r="F258" s="287"/>
      <c r="G258" s="796" t="s">
        <v>1360</v>
      </c>
      <c r="H258" s="773"/>
      <c r="I258" s="759"/>
      <c r="J258" s="759"/>
      <c r="K258" s="759"/>
      <c r="L258" s="759"/>
      <c r="M258" s="759"/>
      <c r="N258" s="1353">
        <v>10651000</v>
      </c>
      <c r="O258" s="1353"/>
      <c r="P258" s="1354"/>
    </row>
    <row r="259" spans="1:16" ht="30" customHeight="1">
      <c r="A259" s="25"/>
      <c r="B259" s="27"/>
      <c r="C259" s="27"/>
      <c r="D259" s="645"/>
      <c r="E259" s="645"/>
      <c r="F259" s="286"/>
      <c r="G259" s="777" t="s">
        <v>359</v>
      </c>
      <c r="H259" s="778"/>
      <c r="I259" s="756"/>
      <c r="J259" s="756"/>
      <c r="K259" s="756"/>
      <c r="L259" s="756"/>
      <c r="M259" s="756"/>
      <c r="N259" s="757"/>
      <c r="O259" s="757"/>
      <c r="P259" s="758">
        <f>SUM(N257:P258)</f>
        <v>30651000</v>
      </c>
    </row>
    <row r="260" spans="1:16" ht="30" customHeight="1">
      <c r="A260" s="25"/>
      <c r="B260" s="27"/>
      <c r="C260" s="28">
        <v>4236</v>
      </c>
      <c r="D260" s="646"/>
      <c r="E260" s="646"/>
      <c r="F260" s="287"/>
      <c r="G260" s="781" t="s">
        <v>6</v>
      </c>
      <c r="H260" s="796"/>
      <c r="I260" s="759"/>
      <c r="J260" s="759"/>
      <c r="K260" s="759"/>
      <c r="L260" s="759"/>
      <c r="M260" s="759"/>
      <c r="N260" s="760"/>
      <c r="O260" s="760"/>
      <c r="P260" s="788"/>
    </row>
    <row r="261" spans="1:16" ht="30" customHeight="1">
      <c r="A261" s="25"/>
      <c r="B261" s="27"/>
      <c r="C261" s="27" t="s">
        <v>272</v>
      </c>
      <c r="D261" s="646">
        <v>600</v>
      </c>
      <c r="E261" s="646">
        <v>1000</v>
      </c>
      <c r="F261" s="287">
        <f>D261-E261</f>
        <v>-400</v>
      </c>
      <c r="G261" s="781" t="s">
        <v>1186</v>
      </c>
      <c r="H261" s="796"/>
      <c r="I261" s="759"/>
      <c r="J261" s="759"/>
      <c r="K261" s="759"/>
      <c r="L261" s="759"/>
      <c r="M261" s="759"/>
      <c r="N261" s="761"/>
      <c r="O261" s="761"/>
      <c r="P261" s="788">
        <v>600000</v>
      </c>
    </row>
    <row r="262" spans="1:16" ht="30" customHeight="1">
      <c r="A262" s="25"/>
      <c r="B262" s="27"/>
      <c r="C262" s="24"/>
      <c r="D262" s="645"/>
      <c r="E262" s="645"/>
      <c r="F262" s="286"/>
      <c r="G262" s="777" t="s">
        <v>359</v>
      </c>
      <c r="H262" s="778"/>
      <c r="I262" s="756"/>
      <c r="J262" s="756"/>
      <c r="K262" s="756"/>
      <c r="L262" s="756"/>
      <c r="M262" s="756"/>
      <c r="N262" s="757"/>
      <c r="O262" s="757"/>
      <c r="P262" s="758">
        <f>SUM(N260:P261)</f>
        <v>600000</v>
      </c>
    </row>
    <row r="263" spans="1:16" ht="27" customHeight="1">
      <c r="A263" s="25"/>
      <c r="B263" s="27"/>
      <c r="C263" s="27">
        <v>4237</v>
      </c>
      <c r="D263" s="646"/>
      <c r="E263" s="646"/>
      <c r="F263" s="287"/>
      <c r="G263" s="781" t="s">
        <v>6</v>
      </c>
      <c r="H263" s="796"/>
      <c r="I263" s="759"/>
      <c r="J263" s="759"/>
      <c r="K263" s="759"/>
      <c r="L263" s="759"/>
      <c r="M263" s="759"/>
      <c r="N263" s="760"/>
      <c r="O263" s="760"/>
      <c r="P263" s="788"/>
    </row>
    <row r="264" spans="1:16" ht="30" customHeight="1">
      <c r="A264" s="25"/>
      <c r="B264" s="27"/>
      <c r="C264" s="27" t="s">
        <v>108</v>
      </c>
      <c r="D264" s="646">
        <v>28377</v>
      </c>
      <c r="E264" s="646">
        <v>10000</v>
      </c>
      <c r="F264" s="287">
        <f>D264-E264</f>
        <v>18377</v>
      </c>
      <c r="G264" s="781" t="s">
        <v>1187</v>
      </c>
      <c r="H264" s="796"/>
      <c r="I264" s="759"/>
      <c r="J264" s="759"/>
      <c r="K264" s="759"/>
      <c r="L264" s="759"/>
      <c r="M264" s="759"/>
      <c r="N264" s="761"/>
      <c r="O264" s="761"/>
      <c r="P264" s="788">
        <v>28377000</v>
      </c>
    </row>
    <row r="265" spans="1:16" ht="30" customHeight="1">
      <c r="A265" s="25"/>
      <c r="B265" s="27"/>
      <c r="C265" s="27"/>
      <c r="D265" s="646"/>
      <c r="E265" s="646"/>
      <c r="F265" s="287"/>
      <c r="G265" s="777" t="s">
        <v>359</v>
      </c>
      <c r="H265" s="778"/>
      <c r="I265" s="756"/>
      <c r="J265" s="756"/>
      <c r="K265" s="756"/>
      <c r="L265" s="756"/>
      <c r="M265" s="756"/>
      <c r="N265" s="757"/>
      <c r="O265" s="757"/>
      <c r="P265" s="758">
        <f>SUM(N263:P264)</f>
        <v>28377000</v>
      </c>
    </row>
    <row r="266" spans="1:16" ht="30" customHeight="1">
      <c r="A266" s="25"/>
      <c r="B266" s="27"/>
      <c r="C266" s="28">
        <v>4238</v>
      </c>
      <c r="D266" s="647"/>
      <c r="E266" s="647"/>
      <c r="F266" s="288"/>
      <c r="G266" s="763"/>
      <c r="H266" s="808"/>
      <c r="I266" s="808"/>
      <c r="J266" s="808"/>
      <c r="K266" s="783"/>
      <c r="L266" s="783"/>
      <c r="M266" s="783"/>
      <c r="N266" s="784"/>
      <c r="O266" s="784"/>
      <c r="P266" s="785"/>
    </row>
    <row r="267" spans="1:16" ht="30" customHeight="1">
      <c r="A267" s="25"/>
      <c r="B267" s="27"/>
      <c r="C267" s="27" t="s">
        <v>274</v>
      </c>
      <c r="D267" s="646">
        <v>0</v>
      </c>
      <c r="E267" s="646">
        <v>0</v>
      </c>
      <c r="F267" s="287">
        <f>D267-E267</f>
        <v>0</v>
      </c>
      <c r="G267" s="759"/>
      <c r="H267" s="774"/>
      <c r="I267" s="774"/>
      <c r="J267" s="774"/>
      <c r="K267" s="774"/>
      <c r="L267" s="774"/>
      <c r="M267" s="774"/>
      <c r="N267" s="793"/>
      <c r="O267" s="793"/>
      <c r="P267" s="794"/>
    </row>
    <row r="268" spans="1:16" ht="30" customHeight="1">
      <c r="A268" s="25"/>
      <c r="B268" s="27"/>
      <c r="C268" s="24"/>
      <c r="D268" s="645"/>
      <c r="E268" s="645"/>
      <c r="F268" s="286"/>
      <c r="G268" s="777"/>
      <c r="H268" s="809"/>
      <c r="I268" s="809"/>
      <c r="J268" s="809"/>
      <c r="K268" s="809"/>
      <c r="L268" s="809"/>
      <c r="M268" s="809"/>
      <c r="N268" s="1375"/>
      <c r="O268" s="1375"/>
      <c r="P268" s="1376"/>
    </row>
    <row r="269" spans="1:16" ht="24" customHeight="1">
      <c r="A269" s="25"/>
      <c r="B269" s="27"/>
      <c r="C269" s="27">
        <v>4239</v>
      </c>
      <c r="D269" s="646"/>
      <c r="E269" s="646"/>
      <c r="F269" s="287"/>
      <c r="G269" s="781" t="s">
        <v>337</v>
      </c>
      <c r="H269" s="759"/>
      <c r="I269" s="774"/>
      <c r="J269" s="774"/>
      <c r="K269" s="774"/>
      <c r="L269" s="774"/>
      <c r="M269" s="774"/>
      <c r="N269" s="761"/>
      <c r="O269" s="761"/>
      <c r="P269" s="762"/>
    </row>
    <row r="270" spans="1:16" ht="27.75" customHeight="1">
      <c r="A270" s="25"/>
      <c r="B270" s="27"/>
      <c r="C270" s="27" t="s">
        <v>69</v>
      </c>
      <c r="D270" s="646">
        <v>576792</v>
      </c>
      <c r="E270" s="655">
        <v>571000</v>
      </c>
      <c r="F270" s="287">
        <f>D270-E270</f>
        <v>5792</v>
      </c>
      <c r="G270" s="773" t="s">
        <v>1010</v>
      </c>
      <c r="H270" s="773"/>
      <c r="I270" s="759"/>
      <c r="J270" s="759"/>
      <c r="K270" s="759"/>
      <c r="L270" s="759"/>
      <c r="M270" s="759"/>
      <c r="N270" s="1359">
        <v>100000000</v>
      </c>
      <c r="O270" s="1359"/>
      <c r="P270" s="1360"/>
    </row>
    <row r="271" spans="1:16" ht="27.75" customHeight="1" hidden="1">
      <c r="A271" s="25"/>
      <c r="B271" s="27"/>
      <c r="C271" s="27"/>
      <c r="D271" s="646"/>
      <c r="E271" s="646"/>
      <c r="F271" s="287"/>
      <c r="G271" s="781"/>
      <c r="H271" s="796"/>
      <c r="I271" s="773"/>
      <c r="J271" s="773"/>
      <c r="K271" s="782"/>
      <c r="L271" s="1361"/>
      <c r="M271" s="1361"/>
      <c r="N271" s="1353"/>
      <c r="O271" s="1353"/>
      <c r="P271" s="1354"/>
    </row>
    <row r="272" spans="1:16" ht="27.75" customHeight="1" hidden="1">
      <c r="A272" s="25"/>
      <c r="B272" s="27"/>
      <c r="C272" s="27"/>
      <c r="D272" s="646"/>
      <c r="E272" s="646"/>
      <c r="F272" s="287"/>
      <c r="G272" s="781"/>
      <c r="H272" s="796"/>
      <c r="I272" s="796"/>
      <c r="J272" s="796"/>
      <c r="K272" s="796"/>
      <c r="L272" s="796"/>
      <c r="M272" s="796"/>
      <c r="N272" s="761"/>
      <c r="O272" s="1351"/>
      <c r="P272" s="1352"/>
    </row>
    <row r="273" spans="1:16" ht="27.75" customHeight="1" hidden="1">
      <c r="A273" s="25"/>
      <c r="B273" s="27"/>
      <c r="C273" s="27"/>
      <c r="D273" s="646"/>
      <c r="E273" s="646"/>
      <c r="F273" s="287"/>
      <c r="G273" s="781"/>
      <c r="H273" s="796"/>
      <c r="I273" s="796"/>
      <c r="J273" s="796"/>
      <c r="K273" s="796"/>
      <c r="L273" s="796"/>
      <c r="M273" s="796"/>
      <c r="N273" s="1353"/>
      <c r="O273" s="1353"/>
      <c r="P273" s="1354"/>
    </row>
    <row r="274" spans="1:16" ht="27.75" customHeight="1" hidden="1">
      <c r="A274" s="25"/>
      <c r="B274" s="27"/>
      <c r="C274" s="27"/>
      <c r="D274" s="646"/>
      <c r="E274" s="646"/>
      <c r="F274" s="287"/>
      <c r="G274" s="781"/>
      <c r="H274" s="796"/>
      <c r="I274" s="796"/>
      <c r="J274" s="796"/>
      <c r="K274" s="796"/>
      <c r="L274" s="796"/>
      <c r="M274" s="796"/>
      <c r="N274" s="1353"/>
      <c r="O274" s="1353"/>
      <c r="P274" s="1354"/>
    </row>
    <row r="275" spans="1:16" ht="27.75" customHeight="1" hidden="1">
      <c r="A275" s="25"/>
      <c r="B275" s="27"/>
      <c r="C275" s="27"/>
      <c r="D275" s="646"/>
      <c r="E275" s="646"/>
      <c r="F275" s="287"/>
      <c r="G275" s="789" t="s">
        <v>384</v>
      </c>
      <c r="H275" s="797"/>
      <c r="I275" s="796"/>
      <c r="J275" s="796"/>
      <c r="K275" s="796"/>
      <c r="L275" s="796"/>
      <c r="M275" s="796"/>
      <c r="N275" s="1353"/>
      <c r="O275" s="1353"/>
      <c r="P275" s="1354"/>
    </row>
    <row r="276" spans="1:16" ht="27.75" customHeight="1">
      <c r="A276" s="25"/>
      <c r="B276" s="27"/>
      <c r="C276" s="27"/>
      <c r="D276" s="646"/>
      <c r="E276" s="646"/>
      <c r="F276" s="287"/>
      <c r="G276" s="781" t="s">
        <v>384</v>
      </c>
      <c r="H276" s="796"/>
      <c r="I276" s="796"/>
      <c r="J276" s="796"/>
      <c r="K276" s="796"/>
      <c r="L276" s="796"/>
      <c r="M276" s="796"/>
      <c r="N276" s="1353">
        <f>SUM(N270:P275)</f>
        <v>100000000</v>
      </c>
      <c r="O276" s="1353"/>
      <c r="P276" s="1354"/>
    </row>
    <row r="277" spans="1:16" ht="30" customHeight="1">
      <c r="A277" s="25"/>
      <c r="B277" s="27"/>
      <c r="C277" s="27"/>
      <c r="D277" s="646"/>
      <c r="E277" s="646"/>
      <c r="F277" s="287"/>
      <c r="G277" s="781" t="s">
        <v>6</v>
      </c>
      <c r="H277" s="796"/>
      <c r="I277" s="796"/>
      <c r="J277" s="796"/>
      <c r="K277" s="796"/>
      <c r="L277" s="796"/>
      <c r="M277" s="796"/>
      <c r="N277" s="1351" t="s">
        <v>3</v>
      </c>
      <c r="O277" s="1351"/>
      <c r="P277" s="1352"/>
    </row>
    <row r="278" spans="1:16" ht="30" customHeight="1" hidden="1">
      <c r="A278" s="25"/>
      <c r="B278" s="27"/>
      <c r="C278" s="27"/>
      <c r="D278" s="646"/>
      <c r="E278" s="646"/>
      <c r="F278" s="287"/>
      <c r="G278" s="775"/>
      <c r="H278" s="796"/>
      <c r="I278" s="796"/>
      <c r="J278" s="796"/>
      <c r="K278" s="796"/>
      <c r="L278" s="796"/>
      <c r="M278" s="796"/>
      <c r="N278" s="1353"/>
      <c r="O278" s="1353"/>
      <c r="P278" s="1354"/>
    </row>
    <row r="279" spans="1:16" ht="30" customHeight="1" hidden="1">
      <c r="A279" s="25"/>
      <c r="B279" s="27"/>
      <c r="C279" s="27"/>
      <c r="D279" s="646"/>
      <c r="E279" s="646"/>
      <c r="F279" s="287"/>
      <c r="G279" s="775"/>
      <c r="H279" s="796"/>
      <c r="I279" s="796"/>
      <c r="J279" s="796"/>
      <c r="K279" s="796"/>
      <c r="L279" s="796"/>
      <c r="M279" s="796"/>
      <c r="N279" s="761"/>
      <c r="O279" s="761"/>
      <c r="P279" s="762"/>
    </row>
    <row r="280" spans="1:16" ht="30" customHeight="1" hidden="1">
      <c r="A280" s="25"/>
      <c r="B280" s="27"/>
      <c r="C280" s="27"/>
      <c r="D280" s="646"/>
      <c r="E280" s="646"/>
      <c r="F280" s="287"/>
      <c r="G280" s="775"/>
      <c r="H280" s="796"/>
      <c r="I280" s="796"/>
      <c r="J280" s="796"/>
      <c r="K280" s="796"/>
      <c r="L280" s="796"/>
      <c r="M280" s="796"/>
      <c r="N280" s="761"/>
      <c r="O280" s="761"/>
      <c r="P280" s="762"/>
    </row>
    <row r="281" spans="1:16" ht="30" customHeight="1" hidden="1">
      <c r="A281" s="25"/>
      <c r="B281" s="27"/>
      <c r="C281" s="27"/>
      <c r="D281" s="646"/>
      <c r="E281" s="646"/>
      <c r="F281" s="287"/>
      <c r="G281" s="775"/>
      <c r="H281" s="796"/>
      <c r="I281" s="796"/>
      <c r="J281" s="796"/>
      <c r="K281" s="796"/>
      <c r="L281" s="796"/>
      <c r="M281" s="796"/>
      <c r="N281" s="761"/>
      <c r="O281" s="761"/>
      <c r="P281" s="762"/>
    </row>
    <row r="282" spans="1:16" ht="30" customHeight="1" hidden="1">
      <c r="A282" s="25"/>
      <c r="B282" s="27"/>
      <c r="C282" s="27"/>
      <c r="D282" s="646"/>
      <c r="E282" s="646"/>
      <c r="F282" s="287"/>
      <c r="G282" s="775"/>
      <c r="H282" s="796"/>
      <c r="I282" s="796"/>
      <c r="J282" s="796"/>
      <c r="K282" s="796"/>
      <c r="L282" s="796"/>
      <c r="M282" s="796"/>
      <c r="N282" s="1353"/>
      <c r="O282" s="1353"/>
      <c r="P282" s="1354"/>
    </row>
    <row r="283" spans="1:16" ht="30" customHeight="1" hidden="1">
      <c r="A283" s="25"/>
      <c r="B283" s="27"/>
      <c r="C283" s="27"/>
      <c r="D283" s="646"/>
      <c r="E283" s="646"/>
      <c r="F283" s="287"/>
      <c r="G283" s="775"/>
      <c r="H283" s="796"/>
      <c r="I283" s="796"/>
      <c r="J283" s="796"/>
      <c r="K283" s="796"/>
      <c r="L283" s="796"/>
      <c r="M283" s="796"/>
      <c r="N283" s="1353"/>
      <c r="O283" s="1353"/>
      <c r="P283" s="1354"/>
    </row>
    <row r="284" spans="1:16" ht="30" customHeight="1" hidden="1">
      <c r="A284" s="25"/>
      <c r="B284" s="27"/>
      <c r="C284" s="27"/>
      <c r="D284" s="646"/>
      <c r="E284" s="646"/>
      <c r="F284" s="287"/>
      <c r="G284" s="775"/>
      <c r="H284" s="796"/>
      <c r="I284" s="796"/>
      <c r="J284" s="796"/>
      <c r="K284" s="796"/>
      <c r="L284" s="796"/>
      <c r="M284" s="796"/>
      <c r="N284" s="761"/>
      <c r="O284" s="761"/>
      <c r="P284" s="762"/>
    </row>
    <row r="285" spans="1:16" ht="30" customHeight="1" hidden="1">
      <c r="A285" s="25"/>
      <c r="B285" s="27"/>
      <c r="C285" s="27"/>
      <c r="D285" s="646"/>
      <c r="E285" s="646"/>
      <c r="F285" s="287"/>
      <c r="G285" s="775"/>
      <c r="H285" s="796"/>
      <c r="I285" s="796"/>
      <c r="J285" s="796"/>
      <c r="K285" s="796"/>
      <c r="L285" s="796"/>
      <c r="M285" s="796"/>
      <c r="N285" s="1353"/>
      <c r="O285" s="1353"/>
      <c r="P285" s="1354"/>
    </row>
    <row r="286" spans="1:16" ht="30" customHeight="1">
      <c r="A286" s="25"/>
      <c r="B286" s="27"/>
      <c r="C286" s="27"/>
      <c r="D286" s="646"/>
      <c r="E286" s="646"/>
      <c r="F286" s="287"/>
      <c r="G286" s="775" t="s">
        <v>637</v>
      </c>
      <c r="H286" s="796"/>
      <c r="I286" s="796"/>
      <c r="J286" s="796"/>
      <c r="K286" s="796"/>
      <c r="L286" s="796"/>
      <c r="M286" s="796"/>
      <c r="N286" s="761"/>
      <c r="O286" s="761"/>
      <c r="P286" s="762">
        <v>1000000</v>
      </c>
    </row>
    <row r="287" spans="1:16" ht="30" customHeight="1">
      <c r="A287" s="25"/>
      <c r="B287" s="27"/>
      <c r="C287" s="27"/>
      <c r="D287" s="646"/>
      <c r="E287" s="646"/>
      <c r="F287" s="287"/>
      <c r="G287" s="775" t="s">
        <v>71</v>
      </c>
      <c r="H287" s="796"/>
      <c r="I287" s="796"/>
      <c r="J287" s="796"/>
      <c r="K287" s="796"/>
      <c r="L287" s="796"/>
      <c r="M287" s="796"/>
      <c r="N287" s="1353">
        <v>150000000</v>
      </c>
      <c r="O287" s="1353"/>
      <c r="P287" s="1354"/>
    </row>
    <row r="288" spans="1:16" ht="30" customHeight="1">
      <c r="A288" s="25"/>
      <c r="B288" s="27"/>
      <c r="C288" s="27"/>
      <c r="D288" s="646"/>
      <c r="E288" s="646"/>
      <c r="F288" s="287"/>
      <c r="G288" s="775" t="s">
        <v>72</v>
      </c>
      <c r="H288" s="796"/>
      <c r="I288" s="796"/>
      <c r="J288" s="796"/>
      <c r="K288" s="796"/>
      <c r="L288" s="796"/>
      <c r="M288" s="796"/>
      <c r="N288" s="1353">
        <v>5000000</v>
      </c>
      <c r="O288" s="1353"/>
      <c r="P288" s="1354"/>
    </row>
    <row r="289" spans="1:16" ht="30" customHeight="1">
      <c r="A289" s="25"/>
      <c r="B289" s="27"/>
      <c r="C289" s="27"/>
      <c r="D289" s="646"/>
      <c r="E289" s="646"/>
      <c r="F289" s="287"/>
      <c r="G289" s="775" t="s">
        <v>73</v>
      </c>
      <c r="H289" s="796"/>
      <c r="I289" s="796"/>
      <c r="J289" s="796"/>
      <c r="K289" s="796"/>
      <c r="L289" s="796"/>
      <c r="M289" s="796"/>
      <c r="N289" s="1353">
        <v>70792000</v>
      </c>
      <c r="O289" s="1353"/>
      <c r="P289" s="1354"/>
    </row>
    <row r="290" spans="1:16" ht="30" customHeight="1">
      <c r="A290" s="25"/>
      <c r="B290" s="27"/>
      <c r="C290" s="27"/>
      <c r="D290" s="646"/>
      <c r="E290" s="646"/>
      <c r="F290" s="287"/>
      <c r="G290" s="781" t="s">
        <v>1361</v>
      </c>
      <c r="H290" s="667"/>
      <c r="I290" s="667"/>
      <c r="J290" s="667"/>
      <c r="K290" s="667"/>
      <c r="L290" s="667"/>
      <c r="M290" s="667"/>
      <c r="N290" s="1351">
        <v>250000000</v>
      </c>
      <c r="O290" s="1351"/>
      <c r="P290" s="1352"/>
    </row>
    <row r="291" spans="1:16" ht="30" customHeight="1">
      <c r="A291" s="25"/>
      <c r="B291" s="27"/>
      <c r="C291" s="27"/>
      <c r="D291" s="646"/>
      <c r="E291" s="646"/>
      <c r="F291" s="287"/>
      <c r="G291" s="1368" t="s">
        <v>359</v>
      </c>
      <c r="H291" s="1369"/>
      <c r="I291" s="796"/>
      <c r="J291" s="796"/>
      <c r="K291" s="796"/>
      <c r="L291" s="796"/>
      <c r="M291" s="796"/>
      <c r="N291" s="761"/>
      <c r="O291" s="761"/>
      <c r="P291" s="762">
        <f>SUM(N278:P290)</f>
        <v>476792000</v>
      </c>
    </row>
    <row r="292" spans="1:16" ht="30" customHeight="1">
      <c r="A292" s="25"/>
      <c r="B292" s="27"/>
      <c r="C292" s="27"/>
      <c r="D292" s="646"/>
      <c r="E292" s="646"/>
      <c r="F292" s="287"/>
      <c r="G292" s="1368" t="s">
        <v>4</v>
      </c>
      <c r="H292" s="1369"/>
      <c r="I292" s="759"/>
      <c r="J292" s="759"/>
      <c r="K292" s="759"/>
      <c r="L292" s="759"/>
      <c r="M292" s="759"/>
      <c r="N292" s="1353">
        <f>+N276+P291</f>
        <v>576792000</v>
      </c>
      <c r="O292" s="1353"/>
      <c r="P292" s="1354"/>
    </row>
    <row r="293" spans="1:16" ht="30" customHeight="1">
      <c r="A293" s="1073">
        <v>4300</v>
      </c>
      <c r="B293" s="1074"/>
      <c r="C293" s="1074"/>
      <c r="D293" s="1075"/>
      <c r="E293" s="1075"/>
      <c r="F293" s="954"/>
      <c r="G293" s="1077"/>
      <c r="H293" s="1079"/>
      <c r="I293" s="1079"/>
      <c r="J293" s="1079"/>
      <c r="K293" s="1079"/>
      <c r="L293" s="1079"/>
      <c r="M293" s="1079"/>
      <c r="N293" s="1080"/>
      <c r="O293" s="1080"/>
      <c r="P293" s="1081"/>
    </row>
    <row r="294" spans="1:16" ht="30" customHeight="1">
      <c r="A294" s="42" t="s">
        <v>1</v>
      </c>
      <c r="B294" s="24"/>
      <c r="C294" s="24"/>
      <c r="D294" s="645">
        <f>D296+D307+D390</f>
        <v>12759514</v>
      </c>
      <c r="E294" s="645">
        <f>E296+E307+E390</f>
        <v>11913000</v>
      </c>
      <c r="F294" s="286">
        <f>D294-E294</f>
        <v>846514</v>
      </c>
      <c r="G294" s="756"/>
      <c r="H294" s="800"/>
      <c r="I294" s="800"/>
      <c r="J294" s="800"/>
      <c r="K294" s="800"/>
      <c r="L294" s="800"/>
      <c r="M294" s="800"/>
      <c r="N294" s="757"/>
      <c r="O294" s="757"/>
      <c r="P294" s="758"/>
    </row>
    <row r="295" spans="1:16" ht="20.25" customHeight="1">
      <c r="A295" s="25"/>
      <c r="B295" s="27">
        <v>4310</v>
      </c>
      <c r="C295" s="27"/>
      <c r="D295" s="646"/>
      <c r="E295" s="646"/>
      <c r="F295" s="287"/>
      <c r="G295" s="759"/>
      <c r="H295" s="796"/>
      <c r="I295" s="796"/>
      <c r="J295" s="796"/>
      <c r="K295" s="796"/>
      <c r="L295" s="796"/>
      <c r="M295" s="796"/>
      <c r="N295" s="761"/>
      <c r="O295" s="761"/>
      <c r="P295" s="762"/>
    </row>
    <row r="296" spans="1:16" ht="30" customHeight="1">
      <c r="A296" s="25"/>
      <c r="B296" s="27" t="s">
        <v>109</v>
      </c>
      <c r="C296" s="24"/>
      <c r="D296" s="645">
        <f>D298+D304</f>
        <v>18000</v>
      </c>
      <c r="E296" s="645">
        <f>E298+E304</f>
        <v>73000</v>
      </c>
      <c r="F296" s="286">
        <f>D296-E296</f>
        <v>-55000</v>
      </c>
      <c r="G296" s="756"/>
      <c r="H296" s="800"/>
      <c r="I296" s="800"/>
      <c r="J296" s="800"/>
      <c r="K296" s="800"/>
      <c r="L296" s="800"/>
      <c r="M296" s="800"/>
      <c r="N296" s="757"/>
      <c r="O296" s="757"/>
      <c r="P296" s="758"/>
    </row>
    <row r="297" spans="1:16" ht="21.75" customHeight="1">
      <c r="A297" s="25"/>
      <c r="B297" s="27"/>
      <c r="C297" s="27">
        <v>4311</v>
      </c>
      <c r="D297" s="646"/>
      <c r="E297" s="646"/>
      <c r="F297" s="287"/>
      <c r="G297" s="773"/>
      <c r="H297" s="774"/>
      <c r="I297" s="774"/>
      <c r="J297" s="774"/>
      <c r="K297" s="774"/>
      <c r="L297" s="774"/>
      <c r="M297" s="774"/>
      <c r="N297" s="761"/>
      <c r="O297" s="761"/>
      <c r="P297" s="762"/>
    </row>
    <row r="298" spans="1:16" ht="30" customHeight="1">
      <c r="A298" s="25"/>
      <c r="B298" s="71"/>
      <c r="C298" s="71" t="s">
        <v>109</v>
      </c>
      <c r="D298" s="654">
        <v>18000</v>
      </c>
      <c r="E298" s="654">
        <v>72000</v>
      </c>
      <c r="F298" s="287">
        <f>D298-E298</f>
        <v>-54000</v>
      </c>
      <c r="G298" s="781" t="s">
        <v>1169</v>
      </c>
      <c r="H298" s="796"/>
      <c r="I298" s="759"/>
      <c r="J298" s="759"/>
      <c r="K298" s="759"/>
      <c r="L298" s="759"/>
      <c r="M298" s="759"/>
      <c r="N298" s="1359" t="s">
        <v>76</v>
      </c>
      <c r="O298" s="1359"/>
      <c r="P298" s="1360"/>
    </row>
    <row r="299" spans="1:16" ht="30" customHeight="1">
      <c r="A299" s="25"/>
      <c r="B299" s="71"/>
      <c r="C299" s="71"/>
      <c r="D299" s="654"/>
      <c r="E299" s="654"/>
      <c r="F299" s="292"/>
      <c r="G299" s="781" t="s">
        <v>1177</v>
      </c>
      <c r="H299" s="759"/>
      <c r="I299" s="759"/>
      <c r="J299" s="759"/>
      <c r="K299" s="759"/>
      <c r="L299" s="759"/>
      <c r="M299" s="760"/>
      <c r="N299" s="1353">
        <v>2000000</v>
      </c>
      <c r="O299" s="1353"/>
      <c r="P299" s="1354"/>
    </row>
    <row r="300" spans="1:16" ht="30" customHeight="1">
      <c r="A300" s="34"/>
      <c r="B300" s="71"/>
      <c r="C300" s="71"/>
      <c r="D300" s="654"/>
      <c r="E300" s="654"/>
      <c r="F300" s="292"/>
      <c r="G300" s="781" t="s">
        <v>6</v>
      </c>
      <c r="H300" s="759"/>
      <c r="I300" s="759"/>
      <c r="J300" s="759"/>
      <c r="K300" s="759"/>
      <c r="L300" s="759"/>
      <c r="M300" s="760"/>
      <c r="N300" s="761"/>
      <c r="O300" s="761"/>
      <c r="P300" s="762"/>
    </row>
    <row r="301" spans="1:16" ht="30" customHeight="1">
      <c r="A301" s="34"/>
      <c r="B301" s="71"/>
      <c r="C301" s="71"/>
      <c r="D301" s="654"/>
      <c r="E301" s="654"/>
      <c r="F301" s="292"/>
      <c r="G301" s="781" t="s">
        <v>1188</v>
      </c>
      <c r="H301" s="759"/>
      <c r="I301" s="759"/>
      <c r="J301" s="759"/>
      <c r="K301" s="759"/>
      <c r="L301" s="759"/>
      <c r="M301" s="760"/>
      <c r="N301" s="761"/>
      <c r="O301" s="761"/>
      <c r="P301" s="762">
        <v>16000000</v>
      </c>
    </row>
    <row r="302" spans="1:16" ht="30" customHeight="1">
      <c r="A302" s="41"/>
      <c r="B302" s="71"/>
      <c r="C302" s="71"/>
      <c r="D302" s="654"/>
      <c r="E302" s="654"/>
      <c r="F302" s="292"/>
      <c r="G302" s="1386" t="s">
        <v>4</v>
      </c>
      <c r="H302" s="1387"/>
      <c r="I302" s="800"/>
      <c r="J302" s="800"/>
      <c r="K302" s="800"/>
      <c r="L302" s="800"/>
      <c r="M302" s="800"/>
      <c r="N302" s="1375">
        <f>N299+P301</f>
        <v>18000000</v>
      </c>
      <c r="O302" s="1375"/>
      <c r="P302" s="1376"/>
    </row>
    <row r="303" spans="1:16" ht="26.25" customHeight="1">
      <c r="A303" s="25"/>
      <c r="B303" s="27"/>
      <c r="C303" s="28">
        <v>4312</v>
      </c>
      <c r="D303" s="647"/>
      <c r="E303" s="647"/>
      <c r="F303" s="288"/>
      <c r="G303" s="781"/>
      <c r="H303" s="796"/>
      <c r="I303" s="759"/>
      <c r="J303" s="759"/>
      <c r="K303" s="759"/>
      <c r="L303" s="759"/>
      <c r="M303" s="759"/>
      <c r="N303" s="1359"/>
      <c r="O303" s="1359"/>
      <c r="P303" s="1360"/>
    </row>
    <row r="304" spans="1:16" ht="30" customHeight="1">
      <c r="A304" s="25"/>
      <c r="B304" s="27"/>
      <c r="C304" s="27" t="s">
        <v>277</v>
      </c>
      <c r="D304" s="646">
        <v>0</v>
      </c>
      <c r="E304" s="646">
        <v>1000</v>
      </c>
      <c r="F304" s="287">
        <f>D304-E304</f>
        <v>-1000</v>
      </c>
      <c r="G304" s="781"/>
      <c r="H304" s="759"/>
      <c r="I304" s="759"/>
      <c r="J304" s="759"/>
      <c r="K304" s="759"/>
      <c r="L304" s="759"/>
      <c r="M304" s="760"/>
      <c r="N304" s="1353"/>
      <c r="O304" s="1353"/>
      <c r="P304" s="1354"/>
    </row>
    <row r="305" spans="1:16" ht="30" customHeight="1">
      <c r="A305" s="25"/>
      <c r="B305" s="27"/>
      <c r="C305" s="27"/>
      <c r="D305" s="646"/>
      <c r="E305" s="646"/>
      <c r="F305" s="287"/>
      <c r="G305" s="777"/>
      <c r="H305" s="809"/>
      <c r="I305" s="809"/>
      <c r="J305" s="809"/>
      <c r="K305" s="809"/>
      <c r="L305" s="809"/>
      <c r="M305" s="809"/>
      <c r="N305" s="1375"/>
      <c r="O305" s="1375"/>
      <c r="P305" s="1376"/>
    </row>
    <row r="306" spans="1:16" ht="30" customHeight="1">
      <c r="A306" s="25"/>
      <c r="B306" s="28">
        <v>4320</v>
      </c>
      <c r="C306" s="28"/>
      <c r="D306" s="647"/>
      <c r="E306" s="647"/>
      <c r="F306" s="288"/>
      <c r="G306" s="811"/>
      <c r="H306" s="812"/>
      <c r="I306" s="812"/>
      <c r="J306" s="813"/>
      <c r="K306" s="813"/>
      <c r="L306" s="813"/>
      <c r="M306" s="814"/>
      <c r="N306" s="784"/>
      <c r="O306" s="784"/>
      <c r="P306" s="785"/>
    </row>
    <row r="307" spans="1:16" ht="30" customHeight="1">
      <c r="A307" s="25"/>
      <c r="B307" s="27" t="s">
        <v>2</v>
      </c>
      <c r="C307" s="24"/>
      <c r="D307" s="645">
        <f>D326+D309+D334+D370+D373+D376</f>
        <v>11926039</v>
      </c>
      <c r="E307" s="645">
        <f>E326+E309+E334+E370+E373+E376</f>
        <v>10860000</v>
      </c>
      <c r="F307" s="286">
        <f>D307-E307</f>
        <v>1066039</v>
      </c>
      <c r="G307" s="947"/>
      <c r="H307" s="944"/>
      <c r="I307" s="944"/>
      <c r="J307" s="945"/>
      <c r="K307" s="945"/>
      <c r="L307" s="945"/>
      <c r="M307" s="810"/>
      <c r="N307" s="1035"/>
      <c r="O307" s="1035"/>
      <c r="P307" s="1036"/>
    </row>
    <row r="308" spans="1:16" ht="20.25" customHeight="1">
      <c r="A308" s="25"/>
      <c r="B308" s="27"/>
      <c r="C308" s="27">
        <v>4321</v>
      </c>
      <c r="D308" s="646"/>
      <c r="E308" s="646"/>
      <c r="F308" s="287"/>
      <c r="G308" s="773"/>
      <c r="H308" s="759"/>
      <c r="I308" s="759"/>
      <c r="J308" s="759"/>
      <c r="K308" s="759"/>
      <c r="L308" s="759"/>
      <c r="M308" s="759"/>
      <c r="N308" s="761"/>
      <c r="O308" s="761"/>
      <c r="P308" s="762"/>
    </row>
    <row r="309" spans="1:16" ht="30" customHeight="1">
      <c r="A309" s="25"/>
      <c r="B309" s="27"/>
      <c r="C309" s="27" t="s">
        <v>65</v>
      </c>
      <c r="D309" s="646">
        <v>11895110</v>
      </c>
      <c r="E309" s="655">
        <v>10830000</v>
      </c>
      <c r="F309" s="287">
        <f>D309-E309</f>
        <v>1065110</v>
      </c>
      <c r="G309" s="1431" t="s">
        <v>948</v>
      </c>
      <c r="H309" s="1432"/>
      <c r="I309" s="1432"/>
      <c r="J309" s="1432"/>
      <c r="K309" s="1432"/>
      <c r="L309" s="1432"/>
      <c r="M309" s="1432"/>
      <c r="N309" s="1425" t="s">
        <v>887</v>
      </c>
      <c r="O309" s="1425"/>
      <c r="P309" s="1426"/>
    </row>
    <row r="310" spans="1:16" ht="30" customHeight="1">
      <c r="A310" s="25"/>
      <c r="B310" s="27"/>
      <c r="C310" s="27"/>
      <c r="D310" s="646"/>
      <c r="E310" s="646"/>
      <c r="F310" s="287"/>
      <c r="G310" s="899" t="s">
        <v>949</v>
      </c>
      <c r="H310" s="793"/>
      <c r="I310" s="793"/>
      <c r="J310" s="793"/>
      <c r="K310" s="793"/>
      <c r="L310" s="793"/>
      <c r="M310" s="793"/>
      <c r="N310" s="786"/>
      <c r="O310" s="786"/>
      <c r="P310" s="787">
        <v>50000000</v>
      </c>
    </row>
    <row r="311" spans="1:16" ht="30" customHeight="1">
      <c r="A311" s="25"/>
      <c r="B311" s="27"/>
      <c r="C311" s="27"/>
      <c r="D311" s="646"/>
      <c r="E311" s="646"/>
      <c r="F311" s="287"/>
      <c r="G311" s="899" t="s">
        <v>950</v>
      </c>
      <c r="H311" s="793"/>
      <c r="I311" s="793"/>
      <c r="J311" s="793"/>
      <c r="K311" s="793"/>
      <c r="L311" s="793"/>
      <c r="M311" s="793"/>
      <c r="N311" s="786"/>
      <c r="O311" s="786"/>
      <c r="P311" s="787">
        <v>32000000</v>
      </c>
    </row>
    <row r="312" spans="1:16" ht="30" customHeight="1">
      <c r="A312" s="25"/>
      <c r="B312" s="27"/>
      <c r="C312" s="27"/>
      <c r="D312" s="646"/>
      <c r="E312" s="646"/>
      <c r="F312" s="287"/>
      <c r="G312" s="1431" t="s">
        <v>951</v>
      </c>
      <c r="H312" s="1432"/>
      <c r="I312" s="1432"/>
      <c r="J312" s="1432"/>
      <c r="K312" s="1432"/>
      <c r="L312" s="1432"/>
      <c r="M312" s="1432"/>
      <c r="N312" s="1425">
        <v>5019000</v>
      </c>
      <c r="O312" s="1425"/>
      <c r="P312" s="1426"/>
    </row>
    <row r="313" spans="1:16" ht="30" customHeight="1">
      <c r="A313" s="25"/>
      <c r="B313" s="27"/>
      <c r="C313" s="27"/>
      <c r="D313" s="646"/>
      <c r="E313" s="646"/>
      <c r="F313" s="287"/>
      <c r="G313" s="1431" t="s">
        <v>952</v>
      </c>
      <c r="H313" s="1432"/>
      <c r="I313" s="1432"/>
      <c r="J313" s="1432"/>
      <c r="K313" s="1432"/>
      <c r="L313" s="1432"/>
      <c r="M313" s="1432"/>
      <c r="N313" s="1425">
        <v>3000000</v>
      </c>
      <c r="O313" s="1425"/>
      <c r="P313" s="1426"/>
    </row>
    <row r="314" spans="1:16" ht="30" customHeight="1">
      <c r="A314" s="25"/>
      <c r="B314" s="27"/>
      <c r="C314" s="27"/>
      <c r="D314" s="646"/>
      <c r="E314" s="646"/>
      <c r="F314" s="287"/>
      <c r="G314" s="1431" t="s">
        <v>953</v>
      </c>
      <c r="H314" s="1432"/>
      <c r="I314" s="1432"/>
      <c r="J314" s="1432"/>
      <c r="K314" s="1432"/>
      <c r="L314" s="1432"/>
      <c r="M314" s="1432"/>
      <c r="N314" s="786"/>
      <c r="O314" s="786"/>
      <c r="P314" s="787">
        <v>30000000</v>
      </c>
    </row>
    <row r="315" spans="1:16" ht="30" customHeight="1">
      <c r="A315" s="25"/>
      <c r="B315" s="27"/>
      <c r="C315" s="27"/>
      <c r="D315" s="646"/>
      <c r="E315" s="646"/>
      <c r="F315" s="287"/>
      <c r="G315" s="1431" t="s">
        <v>954</v>
      </c>
      <c r="H315" s="1432"/>
      <c r="I315" s="1432"/>
      <c r="J315" s="1432"/>
      <c r="K315" s="1432"/>
      <c r="L315" s="1432"/>
      <c r="M315" s="1432"/>
      <c r="N315" s="1425">
        <v>1380000000</v>
      </c>
      <c r="O315" s="1425"/>
      <c r="P315" s="1426"/>
    </row>
    <row r="316" spans="1:16" ht="30" customHeight="1">
      <c r="A316" s="25"/>
      <c r="B316" s="27"/>
      <c r="C316" s="27"/>
      <c r="D316" s="646"/>
      <c r="E316" s="646"/>
      <c r="F316" s="287"/>
      <c r="G316" s="899" t="s">
        <v>955</v>
      </c>
      <c r="H316" s="793"/>
      <c r="I316" s="793"/>
      <c r="J316" s="793"/>
      <c r="K316" s="793"/>
      <c r="L316" s="793"/>
      <c r="M316" s="793"/>
      <c r="N316" s="786"/>
      <c r="O316" s="786"/>
      <c r="P316" s="787">
        <v>150000000</v>
      </c>
    </row>
    <row r="317" spans="1:16" ht="30" customHeight="1">
      <c r="A317" s="25"/>
      <c r="B317" s="27"/>
      <c r="C317" s="27"/>
      <c r="D317" s="646"/>
      <c r="E317" s="646"/>
      <c r="F317" s="287"/>
      <c r="G317" s="1368" t="s">
        <v>383</v>
      </c>
      <c r="H317" s="1369"/>
      <c r="I317" s="759"/>
      <c r="J317" s="759"/>
      <c r="K317" s="759"/>
      <c r="L317" s="759"/>
      <c r="M317" s="759"/>
      <c r="N317" s="1353">
        <f>SUM(N310:P316)</f>
        <v>1650019000</v>
      </c>
      <c r="O317" s="1353"/>
      <c r="P317" s="1354"/>
    </row>
    <row r="318" spans="1:16" ht="30" customHeight="1">
      <c r="A318" s="25"/>
      <c r="B318" s="27"/>
      <c r="C318" s="27"/>
      <c r="D318" s="646"/>
      <c r="E318" s="646"/>
      <c r="F318" s="287"/>
      <c r="G318" s="759" t="s">
        <v>6</v>
      </c>
      <c r="H318" s="773"/>
      <c r="I318" s="773"/>
      <c r="J318" s="773"/>
      <c r="K318" s="773"/>
      <c r="L318" s="773"/>
      <c r="M318" s="773"/>
      <c r="N318" s="1351" t="s">
        <v>3</v>
      </c>
      <c r="O318" s="1351"/>
      <c r="P318" s="1352"/>
    </row>
    <row r="319" spans="1:16" ht="30" customHeight="1">
      <c r="A319" s="25"/>
      <c r="B319" s="27"/>
      <c r="C319" s="27"/>
      <c r="D319" s="646"/>
      <c r="E319" s="646"/>
      <c r="F319" s="287"/>
      <c r="G319" s="1043" t="s">
        <v>1189</v>
      </c>
      <c r="H319" s="773"/>
      <c r="I319" s="773"/>
      <c r="J319" s="759"/>
      <c r="K319" s="782"/>
      <c r="L319" s="759"/>
      <c r="M319" s="759"/>
      <c r="N319" s="1353">
        <v>8100000000</v>
      </c>
      <c r="O319" s="1353"/>
      <c r="P319" s="1354"/>
    </row>
    <row r="320" spans="1:16" ht="30" customHeight="1">
      <c r="A320" s="25"/>
      <c r="B320" s="27"/>
      <c r="C320" s="27"/>
      <c r="D320" s="646"/>
      <c r="E320" s="646"/>
      <c r="F320" s="287"/>
      <c r="G320" s="1043" t="s">
        <v>1191</v>
      </c>
      <c r="H320" s="773"/>
      <c r="I320" s="773"/>
      <c r="J320" s="759"/>
      <c r="K320" s="782"/>
      <c r="L320" s="759"/>
      <c r="M320" s="759"/>
      <c r="N320" s="761"/>
      <c r="O320" s="761"/>
      <c r="P320" s="762">
        <v>1220000000</v>
      </c>
    </row>
    <row r="321" spans="1:16" ht="30" customHeight="1">
      <c r="A321" s="25"/>
      <c r="B321" s="27"/>
      <c r="C321" s="27"/>
      <c r="D321" s="646"/>
      <c r="E321" s="646"/>
      <c r="F321" s="287"/>
      <c r="G321" s="1043" t="s">
        <v>1190</v>
      </c>
      <c r="H321" s="773"/>
      <c r="I321" s="773"/>
      <c r="J321" s="759"/>
      <c r="K321" s="782"/>
      <c r="L321" s="759"/>
      <c r="M321" s="759"/>
      <c r="N321" s="761"/>
      <c r="O321" s="761"/>
      <c r="P321" s="762">
        <v>8600000</v>
      </c>
    </row>
    <row r="322" spans="1:16" ht="30" customHeight="1">
      <c r="A322" s="25"/>
      <c r="B322" s="27"/>
      <c r="C322" s="27"/>
      <c r="D322" s="646"/>
      <c r="E322" s="646"/>
      <c r="F322" s="287"/>
      <c r="G322" s="1043" t="s">
        <v>1362</v>
      </c>
      <c r="H322" s="773"/>
      <c r="I322" s="773"/>
      <c r="J322" s="759"/>
      <c r="K322" s="782"/>
      <c r="L322" s="759"/>
      <c r="M322" s="759"/>
      <c r="N322" s="761"/>
      <c r="O322" s="761"/>
      <c r="P322" s="762">
        <v>916491000</v>
      </c>
    </row>
    <row r="323" spans="1:16" ht="30" customHeight="1">
      <c r="A323" s="25"/>
      <c r="B323" s="27"/>
      <c r="C323" s="27"/>
      <c r="D323" s="646"/>
      <c r="E323" s="646"/>
      <c r="F323" s="287"/>
      <c r="G323" s="1368" t="s">
        <v>359</v>
      </c>
      <c r="H323" s="1369"/>
      <c r="I323" s="759"/>
      <c r="J323" s="759"/>
      <c r="K323" s="759"/>
      <c r="L323" s="759"/>
      <c r="M323" s="759"/>
      <c r="N323" s="1353">
        <f>SUM(N319:P322)</f>
        <v>10245091000</v>
      </c>
      <c r="O323" s="1353"/>
      <c r="P323" s="1354"/>
    </row>
    <row r="324" spans="1:16" ht="30" customHeight="1">
      <c r="A324" s="25"/>
      <c r="B324" s="27"/>
      <c r="C324" s="24"/>
      <c r="D324" s="645"/>
      <c r="E324" s="645"/>
      <c r="F324" s="286"/>
      <c r="G324" s="1386" t="s">
        <v>4</v>
      </c>
      <c r="H324" s="1387"/>
      <c r="I324" s="756"/>
      <c r="J324" s="756"/>
      <c r="K324" s="756"/>
      <c r="L324" s="756"/>
      <c r="M324" s="756"/>
      <c r="N324" s="757">
        <f>SUM(N323)</f>
        <v>10245091000</v>
      </c>
      <c r="O324" s="757"/>
      <c r="P324" s="758">
        <f>SUM(N317+N323)</f>
        <v>11895110000</v>
      </c>
    </row>
    <row r="325" spans="1:16" ht="21.75" customHeight="1">
      <c r="A325" s="25"/>
      <c r="B325" s="27"/>
      <c r="C325" s="27">
        <v>4322</v>
      </c>
      <c r="D325" s="646"/>
      <c r="E325" s="646"/>
      <c r="F325" s="287"/>
      <c r="G325" s="781" t="s">
        <v>6</v>
      </c>
      <c r="H325" s="759"/>
      <c r="I325" s="759"/>
      <c r="J325" s="759"/>
      <c r="K325" s="759"/>
      <c r="L325" s="759"/>
      <c r="M325" s="759"/>
      <c r="N325" s="761"/>
      <c r="O325" s="761"/>
      <c r="P325" s="762"/>
    </row>
    <row r="326" spans="1:16" ht="30" customHeight="1">
      <c r="A326" s="34"/>
      <c r="B326" s="27"/>
      <c r="C326" s="27" t="s">
        <v>64</v>
      </c>
      <c r="D326" s="646">
        <v>13202</v>
      </c>
      <c r="E326" s="646">
        <v>0</v>
      </c>
      <c r="F326" s="287">
        <f>D326-E326</f>
        <v>13202</v>
      </c>
      <c r="G326" s="759" t="s">
        <v>1363</v>
      </c>
      <c r="H326" s="773"/>
      <c r="I326" s="773"/>
      <c r="J326" s="773"/>
      <c r="K326" s="773"/>
      <c r="L326" s="773"/>
      <c r="M326" s="773"/>
      <c r="N326" s="1351">
        <v>13202000</v>
      </c>
      <c r="O326" s="1351"/>
      <c r="P326" s="1352"/>
    </row>
    <row r="327" spans="1:16" ht="30" customHeight="1" hidden="1">
      <c r="A327" s="34"/>
      <c r="B327" s="27"/>
      <c r="C327" s="27"/>
      <c r="D327" s="646" t="s">
        <v>3</v>
      </c>
      <c r="E327" s="646" t="s">
        <v>3</v>
      </c>
      <c r="F327" s="287"/>
      <c r="G327" s="773"/>
      <c r="H327" s="773"/>
      <c r="I327" s="773"/>
      <c r="J327" s="773"/>
      <c r="K327" s="773"/>
      <c r="L327" s="773"/>
      <c r="M327" s="773"/>
      <c r="N327" s="1351"/>
      <c r="O327" s="1351"/>
      <c r="P327" s="1352"/>
    </row>
    <row r="328" spans="1:16" ht="30" customHeight="1" hidden="1">
      <c r="A328" s="34"/>
      <c r="B328" s="27"/>
      <c r="C328" s="27"/>
      <c r="D328" s="646"/>
      <c r="E328" s="646"/>
      <c r="F328" s="287"/>
      <c r="G328" s="1368"/>
      <c r="H328" s="1369"/>
      <c r="I328" s="773"/>
      <c r="J328" s="773"/>
      <c r="K328" s="773"/>
      <c r="L328" s="773"/>
      <c r="M328" s="773"/>
      <c r="N328" s="760"/>
      <c r="O328" s="760"/>
      <c r="P328" s="788"/>
    </row>
    <row r="329" spans="1:16" ht="30" customHeight="1" hidden="1">
      <c r="A329" s="34"/>
      <c r="B329" s="27"/>
      <c r="C329" s="27"/>
      <c r="D329" s="646"/>
      <c r="E329" s="646"/>
      <c r="F329" s="287"/>
      <c r="G329" s="773"/>
      <c r="H329" s="773"/>
      <c r="I329" s="773"/>
      <c r="J329" s="773"/>
      <c r="K329" s="773"/>
      <c r="L329" s="773"/>
      <c r="M329" s="773"/>
      <c r="N329" s="760"/>
      <c r="O329" s="760"/>
      <c r="P329" s="788"/>
    </row>
    <row r="330" spans="1:16" ht="30" customHeight="1" hidden="1">
      <c r="A330" s="34"/>
      <c r="B330" s="27"/>
      <c r="C330" s="27"/>
      <c r="D330" s="646"/>
      <c r="E330" s="646"/>
      <c r="F330" s="287"/>
      <c r="G330" s="1388"/>
      <c r="H330" s="1389"/>
      <c r="I330" s="1389"/>
      <c r="J330" s="1389"/>
      <c r="K330" s="1389"/>
      <c r="L330" s="1389"/>
      <c r="M330" s="1389"/>
      <c r="N330" s="1353"/>
      <c r="O330" s="1353"/>
      <c r="P330" s="1354"/>
    </row>
    <row r="331" spans="1:16" ht="30" customHeight="1" hidden="1">
      <c r="A331" s="34"/>
      <c r="B331" s="27"/>
      <c r="C331" s="27"/>
      <c r="D331" s="646"/>
      <c r="E331" s="646"/>
      <c r="F331" s="287"/>
      <c r="G331" s="1368"/>
      <c r="H331" s="1369"/>
      <c r="I331" s="759"/>
      <c r="J331" s="759"/>
      <c r="K331" s="759"/>
      <c r="L331" s="759"/>
      <c r="M331" s="759"/>
      <c r="N331" s="761"/>
      <c r="O331" s="761"/>
      <c r="P331" s="762"/>
    </row>
    <row r="332" spans="1:16" ht="30" customHeight="1">
      <c r="A332" s="34"/>
      <c r="B332" s="27"/>
      <c r="C332" s="24"/>
      <c r="D332" s="645"/>
      <c r="E332" s="645"/>
      <c r="F332" s="286"/>
      <c r="G332" s="1386" t="s">
        <v>4</v>
      </c>
      <c r="H332" s="1387"/>
      <c r="I332" s="756"/>
      <c r="J332" s="756"/>
      <c r="K332" s="756"/>
      <c r="L332" s="756"/>
      <c r="M332" s="756"/>
      <c r="N332" s="757"/>
      <c r="O332" s="757"/>
      <c r="P332" s="758">
        <f>N326</f>
        <v>13202000</v>
      </c>
    </row>
    <row r="333" spans="1:16" ht="30" customHeight="1">
      <c r="A333" s="34"/>
      <c r="B333" s="27"/>
      <c r="C333" s="27">
        <v>4323</v>
      </c>
      <c r="D333" s="646"/>
      <c r="E333" s="646"/>
      <c r="F333" s="287"/>
      <c r="G333" s="773"/>
      <c r="H333" s="796" t="s">
        <v>3</v>
      </c>
      <c r="I333" s="759"/>
      <c r="J333" s="759"/>
      <c r="K333" s="759"/>
      <c r="L333" s="759"/>
      <c r="M333" s="759"/>
      <c r="N333" s="1353" t="s">
        <v>3</v>
      </c>
      <c r="O333" s="1353"/>
      <c r="P333" s="1354"/>
    </row>
    <row r="334" spans="1:16" ht="30" customHeight="1">
      <c r="A334" s="34"/>
      <c r="B334" s="27"/>
      <c r="C334" s="27" t="s">
        <v>279</v>
      </c>
      <c r="D334" s="646">
        <v>8599</v>
      </c>
      <c r="E334" s="655">
        <v>23000</v>
      </c>
      <c r="F334" s="287">
        <f>D334-E334</f>
        <v>-14401</v>
      </c>
      <c r="G334" s="781" t="s">
        <v>337</v>
      </c>
      <c r="H334" s="773"/>
      <c r="I334" s="773"/>
      <c r="J334" s="773"/>
      <c r="K334" s="773"/>
      <c r="L334" s="773"/>
      <c r="M334" s="773"/>
      <c r="N334" s="1359"/>
      <c r="O334" s="1359"/>
      <c r="P334" s="1360"/>
    </row>
    <row r="335" spans="1:16" ht="30" customHeight="1">
      <c r="A335" s="34"/>
      <c r="B335" s="27"/>
      <c r="C335" s="27"/>
      <c r="D335" s="646"/>
      <c r="E335" s="646"/>
      <c r="F335" s="287"/>
      <c r="G335" s="781" t="s">
        <v>1011</v>
      </c>
      <c r="H335" s="766"/>
      <c r="I335" s="760"/>
      <c r="J335" s="760"/>
      <c r="K335" s="759"/>
      <c r="L335" s="759"/>
      <c r="M335" s="759"/>
      <c r="N335" s="761"/>
      <c r="O335" s="761"/>
      <c r="P335" s="762">
        <v>2000000</v>
      </c>
    </row>
    <row r="336" spans="1:16" ht="30" customHeight="1" hidden="1">
      <c r="A336" s="34"/>
      <c r="B336" s="27"/>
      <c r="C336" s="27"/>
      <c r="D336" s="646"/>
      <c r="E336" s="646"/>
      <c r="F336" s="287"/>
      <c r="G336" s="781"/>
      <c r="H336" s="766"/>
      <c r="I336" s="760"/>
      <c r="J336" s="760"/>
      <c r="K336" s="759"/>
      <c r="L336" s="759"/>
      <c r="M336" s="759"/>
      <c r="N336" s="1353"/>
      <c r="O336" s="1353"/>
      <c r="P336" s="1354"/>
    </row>
    <row r="337" spans="1:16" ht="30" customHeight="1" hidden="1">
      <c r="A337" s="34"/>
      <c r="B337" s="27"/>
      <c r="C337" s="27"/>
      <c r="D337" s="646"/>
      <c r="E337" s="646"/>
      <c r="F337" s="287"/>
      <c r="G337" s="781"/>
      <c r="H337" s="766"/>
      <c r="I337" s="760"/>
      <c r="J337" s="760"/>
      <c r="K337" s="759"/>
      <c r="L337" s="759"/>
      <c r="M337" s="759"/>
      <c r="N337" s="1353"/>
      <c r="O337" s="1353"/>
      <c r="P337" s="1354"/>
    </row>
    <row r="338" spans="1:16" ht="30" customHeight="1" hidden="1">
      <c r="A338" s="34"/>
      <c r="B338" s="27"/>
      <c r="C338" s="27"/>
      <c r="D338" s="646"/>
      <c r="E338" s="646"/>
      <c r="F338" s="287"/>
      <c r="G338" s="781"/>
      <c r="H338" s="766"/>
      <c r="I338" s="760"/>
      <c r="J338" s="760"/>
      <c r="K338" s="759"/>
      <c r="L338" s="759"/>
      <c r="M338" s="759"/>
      <c r="N338" s="1353"/>
      <c r="O338" s="1353"/>
      <c r="P338" s="1354"/>
    </row>
    <row r="339" spans="1:16" ht="30" customHeight="1" hidden="1">
      <c r="A339" s="34"/>
      <c r="B339" s="27"/>
      <c r="C339" s="27"/>
      <c r="D339" s="646"/>
      <c r="E339" s="646"/>
      <c r="F339" s="287"/>
      <c r="G339" s="781"/>
      <c r="H339" s="766"/>
      <c r="I339" s="760"/>
      <c r="J339" s="760"/>
      <c r="K339" s="759"/>
      <c r="L339" s="759"/>
      <c r="M339" s="759"/>
      <c r="N339" s="1353"/>
      <c r="O339" s="1353"/>
      <c r="P339" s="1354"/>
    </row>
    <row r="340" spans="1:16" ht="30" customHeight="1" hidden="1">
      <c r="A340" s="34"/>
      <c r="B340" s="27"/>
      <c r="C340" s="27"/>
      <c r="D340" s="646"/>
      <c r="E340" s="646"/>
      <c r="F340" s="287"/>
      <c r="G340" s="781"/>
      <c r="H340" s="766"/>
      <c r="I340" s="760"/>
      <c r="J340" s="760"/>
      <c r="K340" s="759"/>
      <c r="L340" s="1351"/>
      <c r="M340" s="1351"/>
      <c r="N340" s="1353"/>
      <c r="O340" s="1353"/>
      <c r="P340" s="1354"/>
    </row>
    <row r="341" spans="1:16" ht="30" customHeight="1" hidden="1">
      <c r="A341" s="34"/>
      <c r="B341" s="27"/>
      <c r="C341" s="27"/>
      <c r="D341" s="646"/>
      <c r="E341" s="646"/>
      <c r="F341" s="287"/>
      <c r="G341" s="781"/>
      <c r="H341" s="766"/>
      <c r="I341" s="760"/>
      <c r="J341" s="760"/>
      <c r="K341" s="759"/>
      <c r="L341" s="1351"/>
      <c r="M341" s="1351"/>
      <c r="N341" s="1353"/>
      <c r="O341" s="1353"/>
      <c r="P341" s="1354"/>
    </row>
    <row r="342" spans="1:16" ht="30" customHeight="1" hidden="1">
      <c r="A342" s="34"/>
      <c r="B342" s="27"/>
      <c r="C342" s="27"/>
      <c r="D342" s="646"/>
      <c r="E342" s="646"/>
      <c r="F342" s="287"/>
      <c r="G342" s="781"/>
      <c r="H342" s="766"/>
      <c r="I342" s="760"/>
      <c r="J342" s="760"/>
      <c r="K342" s="759"/>
      <c r="L342" s="759"/>
      <c r="M342" s="759"/>
      <c r="N342" s="1353"/>
      <c r="O342" s="1353"/>
      <c r="P342" s="1354"/>
    </row>
    <row r="343" spans="1:16" ht="30" customHeight="1">
      <c r="A343" s="34"/>
      <c r="B343" s="27"/>
      <c r="C343" s="27"/>
      <c r="D343" s="646"/>
      <c r="E343" s="646"/>
      <c r="F343" s="287"/>
      <c r="G343" s="1368" t="s">
        <v>383</v>
      </c>
      <c r="H343" s="1369"/>
      <c r="I343" s="760"/>
      <c r="J343" s="760"/>
      <c r="K343" s="759"/>
      <c r="L343" s="759"/>
      <c r="M343" s="759"/>
      <c r="N343" s="1353">
        <f>SUM(N335:P342)</f>
        <v>2000000</v>
      </c>
      <c r="O343" s="1353"/>
      <c r="P343" s="1354"/>
    </row>
    <row r="344" spans="1:16" ht="30" customHeight="1">
      <c r="A344" s="34"/>
      <c r="B344" s="27"/>
      <c r="C344" s="27"/>
      <c r="D344" s="646"/>
      <c r="E344" s="646"/>
      <c r="F344" s="287"/>
      <c r="G344" s="781" t="s">
        <v>6</v>
      </c>
      <c r="H344" s="766"/>
      <c r="I344" s="760"/>
      <c r="J344" s="760"/>
      <c r="K344" s="759"/>
      <c r="L344" s="759"/>
      <c r="M344" s="759"/>
      <c r="N344" s="1351" t="s">
        <v>3</v>
      </c>
      <c r="O344" s="1351"/>
      <c r="P344" s="1352"/>
    </row>
    <row r="345" spans="1:16" ht="30" customHeight="1" hidden="1">
      <c r="A345" s="34"/>
      <c r="B345" s="27"/>
      <c r="C345" s="27"/>
      <c r="D345" s="646"/>
      <c r="E345" s="646"/>
      <c r="F345" s="287"/>
      <c r="G345" s="766"/>
      <c r="I345" s="760"/>
      <c r="J345" s="760"/>
      <c r="K345" s="759"/>
      <c r="L345" s="759"/>
      <c r="M345" s="759"/>
      <c r="N345" s="1353"/>
      <c r="O345" s="1353"/>
      <c r="P345" s="1354"/>
    </row>
    <row r="346" spans="1:16" ht="30" customHeight="1" hidden="1">
      <c r="A346" s="34"/>
      <c r="B346" s="27"/>
      <c r="C346" s="27"/>
      <c r="D346" s="646"/>
      <c r="E346" s="646"/>
      <c r="F346" s="287"/>
      <c r="G346" s="766"/>
      <c r="H346" s="773"/>
      <c r="I346" s="766"/>
      <c r="J346" s="766"/>
      <c r="K346" s="759"/>
      <c r="L346" s="759"/>
      <c r="M346" s="759"/>
      <c r="N346" s="1353"/>
      <c r="O346" s="1353"/>
      <c r="P346" s="1354"/>
    </row>
    <row r="347" spans="1:16" ht="30" customHeight="1" hidden="1">
      <c r="A347" s="34"/>
      <c r="B347" s="27"/>
      <c r="C347" s="27"/>
      <c r="D347" s="646"/>
      <c r="E347" s="646"/>
      <c r="F347" s="287"/>
      <c r="G347" s="759"/>
      <c r="H347" s="773"/>
      <c r="I347" s="759"/>
      <c r="J347" s="759"/>
      <c r="K347" s="759"/>
      <c r="L347" s="759"/>
      <c r="M347" s="759"/>
      <c r="N347" s="1353"/>
      <c r="O347" s="1353"/>
      <c r="P347" s="1354"/>
    </row>
    <row r="348" spans="1:16" ht="30" customHeight="1" hidden="1">
      <c r="A348" s="34"/>
      <c r="B348" s="27"/>
      <c r="C348" s="27"/>
      <c r="D348" s="646"/>
      <c r="E348" s="646"/>
      <c r="F348" s="287"/>
      <c r="G348" s="759"/>
      <c r="H348" s="773"/>
      <c r="I348" s="759"/>
      <c r="J348" s="759"/>
      <c r="K348" s="759"/>
      <c r="L348" s="759"/>
      <c r="M348" s="759"/>
      <c r="N348" s="1353"/>
      <c r="O348" s="1353"/>
      <c r="P348" s="1354"/>
    </row>
    <row r="349" spans="1:16" ht="30" customHeight="1" hidden="1">
      <c r="A349" s="25"/>
      <c r="B349" s="27"/>
      <c r="C349" s="27"/>
      <c r="D349" s="646"/>
      <c r="E349" s="646"/>
      <c r="F349" s="287"/>
      <c r="G349" s="759"/>
      <c r="H349" s="773"/>
      <c r="I349" s="759"/>
      <c r="J349" s="759"/>
      <c r="K349" s="759"/>
      <c r="L349" s="759"/>
      <c r="M349" s="759"/>
      <c r="N349" s="1353"/>
      <c r="O349" s="1353"/>
      <c r="P349" s="1354"/>
    </row>
    <row r="350" spans="1:16" ht="30" customHeight="1" hidden="1">
      <c r="A350" s="34"/>
      <c r="B350" s="27"/>
      <c r="C350" s="27"/>
      <c r="D350" s="646"/>
      <c r="E350" s="646"/>
      <c r="F350" s="287"/>
      <c r="G350" s="759"/>
      <c r="H350" s="773"/>
      <c r="I350" s="759"/>
      <c r="J350" s="759"/>
      <c r="K350" s="759"/>
      <c r="L350" s="759"/>
      <c r="M350" s="759"/>
      <c r="N350" s="1353"/>
      <c r="O350" s="1353"/>
      <c r="P350" s="1354"/>
    </row>
    <row r="351" spans="1:16" ht="30" customHeight="1" hidden="1">
      <c r="A351" s="29"/>
      <c r="B351" s="30"/>
      <c r="C351" s="30"/>
      <c r="D351" s="648"/>
      <c r="E351" s="648"/>
      <c r="F351" s="289"/>
      <c r="G351" s="772"/>
      <c r="H351" s="780"/>
      <c r="I351" s="772"/>
      <c r="J351" s="772"/>
      <c r="K351" s="772"/>
      <c r="L351" s="772"/>
      <c r="M351" s="772"/>
      <c r="N351" s="1384"/>
      <c r="O351" s="1384"/>
      <c r="P351" s="1385"/>
    </row>
    <row r="352" spans="1:16" ht="27.75" customHeight="1" hidden="1">
      <c r="A352" s="25"/>
      <c r="B352" s="27"/>
      <c r="C352" s="27"/>
      <c r="D352" s="646"/>
      <c r="E352" s="646"/>
      <c r="F352" s="287"/>
      <c r="G352" s="759"/>
      <c r="I352" s="759"/>
      <c r="J352" s="759"/>
      <c r="K352" s="759"/>
      <c r="L352" s="759"/>
      <c r="M352" s="759"/>
      <c r="N352" s="1353"/>
      <c r="O352" s="1353"/>
      <c r="P352" s="1354"/>
    </row>
    <row r="353" spans="1:16" ht="27.75" customHeight="1" hidden="1">
      <c r="A353" s="25"/>
      <c r="B353" s="27"/>
      <c r="C353" s="27"/>
      <c r="D353" s="646"/>
      <c r="E353" s="646"/>
      <c r="F353" s="287"/>
      <c r="G353" s="759"/>
      <c r="H353" s="773"/>
      <c r="I353" s="759"/>
      <c r="J353" s="759"/>
      <c r="K353" s="759"/>
      <c r="L353" s="759"/>
      <c r="M353" s="759"/>
      <c r="N353" s="1353"/>
      <c r="O353" s="1353"/>
      <c r="P353" s="1354"/>
    </row>
    <row r="354" spans="1:16" ht="27.75" customHeight="1" hidden="1">
      <c r="A354" s="25"/>
      <c r="B354" s="27"/>
      <c r="C354" s="27"/>
      <c r="D354" s="646"/>
      <c r="E354" s="646"/>
      <c r="F354" s="287"/>
      <c r="G354" s="759"/>
      <c r="H354" s="773"/>
      <c r="I354" s="759"/>
      <c r="J354" s="759"/>
      <c r="K354" s="759"/>
      <c r="L354" s="759"/>
      <c r="M354" s="759"/>
      <c r="N354" s="1353"/>
      <c r="O354" s="1353"/>
      <c r="P354" s="1354"/>
    </row>
    <row r="355" spans="1:16" ht="27.75" customHeight="1" hidden="1">
      <c r="A355" s="34"/>
      <c r="B355" s="27"/>
      <c r="C355" s="27"/>
      <c r="D355" s="646"/>
      <c r="E355" s="646"/>
      <c r="F355" s="287"/>
      <c r="G355" s="759"/>
      <c r="H355" s="773"/>
      <c r="I355" s="759"/>
      <c r="J355" s="759"/>
      <c r="K355" s="759"/>
      <c r="L355" s="759"/>
      <c r="M355" s="759"/>
      <c r="N355" s="1353"/>
      <c r="O355" s="1353"/>
      <c r="P355" s="1354"/>
    </row>
    <row r="356" spans="1:16" ht="27.75" customHeight="1" hidden="1">
      <c r="A356" s="25"/>
      <c r="B356" s="27"/>
      <c r="C356" s="27"/>
      <c r="D356" s="646"/>
      <c r="E356" s="646"/>
      <c r="F356" s="287"/>
      <c r="G356" s="759"/>
      <c r="H356" s="773"/>
      <c r="I356" s="759"/>
      <c r="J356" s="759"/>
      <c r="K356" s="759"/>
      <c r="L356" s="759"/>
      <c r="M356" s="759"/>
      <c r="N356" s="1353"/>
      <c r="O356" s="1353"/>
      <c r="P356" s="1354"/>
    </row>
    <row r="357" spans="1:16" ht="27.75" customHeight="1" hidden="1">
      <c r="A357" s="25"/>
      <c r="B357" s="27"/>
      <c r="C357" s="27"/>
      <c r="D357" s="646"/>
      <c r="E357" s="646"/>
      <c r="F357" s="287"/>
      <c r="G357" s="759"/>
      <c r="I357" s="759"/>
      <c r="J357" s="759"/>
      <c r="K357" s="759"/>
      <c r="L357" s="759"/>
      <c r="M357" s="759"/>
      <c r="N357" s="1353"/>
      <c r="O357" s="1353"/>
      <c r="P357" s="1354"/>
    </row>
    <row r="358" spans="1:16" ht="27.75" customHeight="1" hidden="1">
      <c r="A358" s="34"/>
      <c r="B358" s="27"/>
      <c r="C358" s="27"/>
      <c r="D358" s="646"/>
      <c r="E358" s="646"/>
      <c r="F358" s="287"/>
      <c r="G358" s="759"/>
      <c r="H358" s="773"/>
      <c r="I358" s="759"/>
      <c r="J358" s="759"/>
      <c r="K358" s="759"/>
      <c r="L358" s="759"/>
      <c r="M358" s="759"/>
      <c r="N358" s="1353"/>
      <c r="O358" s="1353"/>
      <c r="P358" s="1354"/>
    </row>
    <row r="359" spans="1:16" ht="27.75" customHeight="1" hidden="1">
      <c r="A359" s="34"/>
      <c r="B359" s="27"/>
      <c r="C359" s="27"/>
      <c r="D359" s="646"/>
      <c r="E359" s="646"/>
      <c r="F359" s="287"/>
      <c r="G359" s="759"/>
      <c r="I359" s="759"/>
      <c r="J359" s="759"/>
      <c r="K359" s="759"/>
      <c r="L359" s="759"/>
      <c r="M359" s="759"/>
      <c r="N359" s="1353"/>
      <c r="O359" s="1353"/>
      <c r="P359" s="1354"/>
    </row>
    <row r="360" spans="1:16" ht="27.75" customHeight="1" hidden="1">
      <c r="A360" s="34"/>
      <c r="B360" s="27"/>
      <c r="C360" s="27"/>
      <c r="D360" s="646"/>
      <c r="E360" s="646"/>
      <c r="F360" s="287"/>
      <c r="G360" s="759"/>
      <c r="I360" s="759"/>
      <c r="J360" s="759"/>
      <c r="K360" s="759"/>
      <c r="L360" s="759"/>
      <c r="M360" s="759"/>
      <c r="N360" s="1353"/>
      <c r="O360" s="1353"/>
      <c r="P360" s="1354"/>
    </row>
    <row r="361" spans="1:16" ht="27.75" customHeight="1" hidden="1">
      <c r="A361" s="34"/>
      <c r="B361" s="27"/>
      <c r="C361" s="27"/>
      <c r="D361" s="646"/>
      <c r="E361" s="646"/>
      <c r="F361" s="287"/>
      <c r="G361" s="759"/>
      <c r="I361" s="759"/>
      <c r="J361" s="759"/>
      <c r="K361" s="759"/>
      <c r="L361" s="759"/>
      <c r="M361" s="759"/>
      <c r="N361" s="1353"/>
      <c r="O361" s="1353"/>
      <c r="P361" s="1354"/>
    </row>
    <row r="362" spans="1:16" ht="27.75" customHeight="1" hidden="1">
      <c r="A362" s="34"/>
      <c r="B362" s="27"/>
      <c r="C362" s="27"/>
      <c r="D362" s="646"/>
      <c r="E362" s="646"/>
      <c r="F362" s="287"/>
      <c r="G362" s="759"/>
      <c r="I362" s="759"/>
      <c r="J362" s="759"/>
      <c r="K362" s="759"/>
      <c r="L362" s="759"/>
      <c r="M362" s="759"/>
      <c r="N362" s="1353"/>
      <c r="O362" s="1353"/>
      <c r="P362" s="1354"/>
    </row>
    <row r="363" spans="1:16" ht="27.75" customHeight="1" hidden="1">
      <c r="A363" s="34"/>
      <c r="B363" s="27"/>
      <c r="C363" s="27"/>
      <c r="D363" s="646"/>
      <c r="E363" s="646"/>
      <c r="F363" s="287"/>
      <c r="G363" s="759"/>
      <c r="I363" s="759"/>
      <c r="J363" s="759"/>
      <c r="K363" s="759"/>
      <c r="L363" s="759"/>
      <c r="M363" s="759"/>
      <c r="N363" s="1353"/>
      <c r="O363" s="1353"/>
      <c r="P363" s="1354"/>
    </row>
    <row r="364" spans="1:16" ht="27.75" customHeight="1" hidden="1">
      <c r="A364" s="34"/>
      <c r="B364" s="27"/>
      <c r="C364" s="27"/>
      <c r="D364" s="646"/>
      <c r="E364" s="646"/>
      <c r="F364" s="287"/>
      <c r="G364" s="759"/>
      <c r="I364" s="759"/>
      <c r="J364" s="759"/>
      <c r="K364" s="759"/>
      <c r="L364" s="759"/>
      <c r="M364" s="759"/>
      <c r="N364" s="1353"/>
      <c r="O364" s="1353"/>
      <c r="P364" s="1354"/>
    </row>
    <row r="365" spans="1:16" ht="27.75" customHeight="1" hidden="1">
      <c r="A365" s="25"/>
      <c r="B365" s="27"/>
      <c r="C365" s="27"/>
      <c r="D365" s="646"/>
      <c r="E365" s="646"/>
      <c r="F365" s="287"/>
      <c r="G365" s="759"/>
      <c r="H365" s="773"/>
      <c r="I365" s="759"/>
      <c r="J365" s="759"/>
      <c r="K365" s="759"/>
      <c r="L365" s="759"/>
      <c r="M365" s="759"/>
      <c r="N365" s="1353"/>
      <c r="O365" s="1353"/>
      <c r="P365" s="1354"/>
    </row>
    <row r="366" spans="1:16" ht="27.75" customHeight="1">
      <c r="A366" s="34"/>
      <c r="B366" s="27"/>
      <c r="C366" s="27"/>
      <c r="D366" s="646"/>
      <c r="E366" s="646"/>
      <c r="F366" s="287"/>
      <c r="G366" s="759" t="s">
        <v>1364</v>
      </c>
      <c r="H366" s="773"/>
      <c r="I366" s="759"/>
      <c r="J366" s="759"/>
      <c r="K366" s="759"/>
      <c r="L366" s="759"/>
      <c r="M366" s="759"/>
      <c r="N366" s="1353">
        <v>9299000</v>
      </c>
      <c r="O366" s="1353"/>
      <c r="P366" s="1354"/>
    </row>
    <row r="367" spans="1:16" ht="27.75" customHeight="1">
      <c r="A367" s="34"/>
      <c r="B367" s="27"/>
      <c r="C367" s="27"/>
      <c r="D367" s="646"/>
      <c r="E367" s="646"/>
      <c r="F367" s="287"/>
      <c r="G367" s="1368" t="s">
        <v>359</v>
      </c>
      <c r="H367" s="1369"/>
      <c r="I367" s="759"/>
      <c r="J367" s="759"/>
      <c r="K367" s="759"/>
      <c r="L367" s="759"/>
      <c r="M367" s="759"/>
      <c r="N367" s="761"/>
      <c r="O367" s="761"/>
      <c r="P367" s="762">
        <f>SUM(N345:P366)</f>
        <v>9299000</v>
      </c>
    </row>
    <row r="368" spans="1:16" ht="27.75" customHeight="1">
      <c r="A368" s="25"/>
      <c r="B368" s="27"/>
      <c r="C368" s="27"/>
      <c r="D368" s="646"/>
      <c r="E368" s="646"/>
      <c r="F368" s="287"/>
      <c r="G368" s="1368" t="s">
        <v>4</v>
      </c>
      <c r="H368" s="1369"/>
      <c r="I368" s="759"/>
      <c r="J368" s="759"/>
      <c r="K368" s="759"/>
      <c r="L368" s="759"/>
      <c r="M368" s="872"/>
      <c r="N368" s="1353">
        <f>SUM(N343+P367)</f>
        <v>11299000</v>
      </c>
      <c r="O368" s="1353"/>
      <c r="P368" s="1354"/>
    </row>
    <row r="369" spans="1:16" ht="30" customHeight="1">
      <c r="A369" s="25"/>
      <c r="B369" s="27"/>
      <c r="C369" s="28">
        <v>4324</v>
      </c>
      <c r="D369" s="647"/>
      <c r="E369" s="647"/>
      <c r="F369" s="288"/>
      <c r="G369" s="763"/>
      <c r="H369" s="816"/>
      <c r="I369" s="783"/>
      <c r="J369" s="783"/>
      <c r="K369" s="783"/>
      <c r="L369" s="783"/>
      <c r="M369" s="783"/>
      <c r="N369" s="784"/>
      <c r="O369" s="784"/>
      <c r="P369" s="785"/>
    </row>
    <row r="370" spans="1:16" ht="30" customHeight="1">
      <c r="A370" s="25"/>
      <c r="B370" s="27"/>
      <c r="C370" s="27" t="s">
        <v>280</v>
      </c>
      <c r="D370" s="646">
        <v>0</v>
      </c>
      <c r="E370" s="646">
        <v>0</v>
      </c>
      <c r="F370" s="287">
        <f>D370-E370</f>
        <v>0</v>
      </c>
      <c r="G370" s="781"/>
      <c r="H370" s="773"/>
      <c r="I370" s="773"/>
      <c r="J370" s="773"/>
      <c r="K370" s="773"/>
      <c r="L370" s="773"/>
      <c r="M370" s="773"/>
      <c r="N370" s="793"/>
      <c r="O370" s="793"/>
      <c r="P370" s="794"/>
    </row>
    <row r="371" spans="1:16" ht="30" customHeight="1">
      <c r="A371" s="25"/>
      <c r="B371" s="27"/>
      <c r="C371" s="24"/>
      <c r="D371" s="645"/>
      <c r="E371" s="645"/>
      <c r="F371" s="286"/>
      <c r="G371" s="756"/>
      <c r="H371" s="778"/>
      <c r="I371" s="778"/>
      <c r="J371" s="778"/>
      <c r="K371" s="778"/>
      <c r="L371" s="778"/>
      <c r="M371" s="778"/>
      <c r="N371" s="821"/>
      <c r="O371" s="821"/>
      <c r="P371" s="822"/>
    </row>
    <row r="372" spans="1:16" ht="30" customHeight="1">
      <c r="A372" s="25"/>
      <c r="B372" s="27"/>
      <c r="C372" s="27">
        <v>4325</v>
      </c>
      <c r="D372" s="646"/>
      <c r="E372" s="646"/>
      <c r="F372" s="287"/>
      <c r="G372" s="781" t="s">
        <v>1192</v>
      </c>
      <c r="H372" s="796"/>
      <c r="I372" s="759"/>
      <c r="J372" s="759"/>
      <c r="K372" s="759"/>
      <c r="L372" s="759"/>
      <c r="M372" s="759"/>
      <c r="N372" s="761"/>
      <c r="O372" s="761"/>
      <c r="P372" s="762"/>
    </row>
    <row r="373" spans="1:16" ht="30" customHeight="1">
      <c r="A373" s="25"/>
      <c r="B373" s="27"/>
      <c r="C373" s="27" t="s">
        <v>281</v>
      </c>
      <c r="D373" s="646">
        <v>8108</v>
      </c>
      <c r="E373" s="646">
        <v>6000</v>
      </c>
      <c r="F373" s="287">
        <f>D373-E373</f>
        <v>2108</v>
      </c>
      <c r="G373" s="781" t="s">
        <v>1193</v>
      </c>
      <c r="H373" s="796"/>
      <c r="I373" s="759"/>
      <c r="J373" s="759"/>
      <c r="K373" s="759"/>
      <c r="L373" s="759"/>
      <c r="M373" s="759"/>
      <c r="N373" s="761"/>
      <c r="O373" s="761"/>
      <c r="P373" s="762">
        <v>6000000</v>
      </c>
    </row>
    <row r="374" spans="1:16" ht="27.75" customHeight="1">
      <c r="A374" s="25"/>
      <c r="B374" s="27"/>
      <c r="C374" s="24"/>
      <c r="D374" s="645"/>
      <c r="E374" s="645"/>
      <c r="F374" s="286"/>
      <c r="G374" s="1386" t="s">
        <v>359</v>
      </c>
      <c r="H374" s="1387"/>
      <c r="I374" s="756"/>
      <c r="J374" s="756"/>
      <c r="K374" s="756"/>
      <c r="L374" s="756"/>
      <c r="M374" s="768"/>
      <c r="N374" s="1375">
        <f>P373</f>
        <v>6000000</v>
      </c>
      <c r="O374" s="1375"/>
      <c r="P374" s="1376"/>
    </row>
    <row r="375" spans="1:16" ht="30.75" customHeight="1">
      <c r="A375" s="25"/>
      <c r="B375" s="27"/>
      <c r="C375" s="27">
        <v>4329</v>
      </c>
      <c r="D375" s="646"/>
      <c r="E375" s="646"/>
      <c r="F375" s="287"/>
      <c r="G375" s="759" t="s">
        <v>6</v>
      </c>
      <c r="H375" s="773"/>
      <c r="I375" s="773"/>
      <c r="J375" s="773"/>
      <c r="K375" s="773"/>
      <c r="L375" s="773"/>
      <c r="M375" s="773"/>
      <c r="N375" s="1429" t="s">
        <v>3</v>
      </c>
      <c r="O375" s="1429"/>
      <c r="P375" s="1430"/>
    </row>
    <row r="376" spans="1:16" ht="30.75" customHeight="1">
      <c r="A376" s="25"/>
      <c r="B376" s="27"/>
      <c r="C376" s="32" t="s">
        <v>282</v>
      </c>
      <c r="D376" s="646">
        <v>1020</v>
      </c>
      <c r="E376" s="646">
        <v>1000</v>
      </c>
      <c r="F376" s="287">
        <f>D376-E376</f>
        <v>20</v>
      </c>
      <c r="G376" s="773" t="s">
        <v>1367</v>
      </c>
      <c r="H376" s="773"/>
      <c r="I376" s="773"/>
      <c r="J376" s="759"/>
      <c r="K376" s="782"/>
      <c r="L376" s="1351"/>
      <c r="M376" s="1351"/>
      <c r="N376" s="1353">
        <v>1020000</v>
      </c>
      <c r="O376" s="1353"/>
      <c r="P376" s="1354"/>
    </row>
    <row r="377" spans="1:16" ht="30.75" customHeight="1" hidden="1">
      <c r="A377" s="25"/>
      <c r="B377" s="27"/>
      <c r="C377" s="27"/>
      <c r="D377" s="646"/>
      <c r="E377" s="646"/>
      <c r="F377" s="287"/>
      <c r="G377" s="781"/>
      <c r="H377" s="796"/>
      <c r="I377" s="759"/>
      <c r="J377" s="759"/>
      <c r="K377" s="759"/>
      <c r="L377" s="759"/>
      <c r="M377" s="759"/>
      <c r="N377" s="1353"/>
      <c r="O377" s="1353"/>
      <c r="P377" s="1354"/>
    </row>
    <row r="378" spans="1:16" ht="30.75" customHeight="1" hidden="1">
      <c r="A378" s="34"/>
      <c r="B378" s="27"/>
      <c r="C378" s="27"/>
      <c r="D378" s="646"/>
      <c r="E378" s="646"/>
      <c r="F378" s="287"/>
      <c r="G378" s="1368"/>
      <c r="H378" s="1369"/>
      <c r="I378" s="759"/>
      <c r="J378" s="759"/>
      <c r="K378" s="759"/>
      <c r="L378" s="759"/>
      <c r="M378" s="759"/>
      <c r="N378" s="1353"/>
      <c r="O378" s="1353"/>
      <c r="P378" s="1354"/>
    </row>
    <row r="379" spans="1:16" ht="30.75" customHeight="1" hidden="1">
      <c r="A379" s="34"/>
      <c r="B379" s="27"/>
      <c r="C379" s="27"/>
      <c r="D379" s="646"/>
      <c r="E379" s="646"/>
      <c r="F379" s="287"/>
      <c r="G379" s="781"/>
      <c r="H379" s="796"/>
      <c r="I379" s="759"/>
      <c r="J379" s="759"/>
      <c r="K379" s="759"/>
      <c r="L379" s="759"/>
      <c r="M379" s="759"/>
      <c r="N379" s="1351"/>
      <c r="O379" s="1351"/>
      <c r="P379" s="1352"/>
    </row>
    <row r="380" spans="1:16" ht="30.75" customHeight="1" hidden="1">
      <c r="A380" s="109"/>
      <c r="B380" s="30"/>
      <c r="C380" s="30"/>
      <c r="D380" s="648"/>
      <c r="E380" s="648"/>
      <c r="F380" s="289"/>
      <c r="G380" s="797"/>
      <c r="H380" s="780"/>
      <c r="I380" s="772"/>
      <c r="J380" s="772"/>
      <c r="K380" s="772"/>
      <c r="L380" s="772"/>
      <c r="M380" s="772"/>
      <c r="N380" s="1384"/>
      <c r="O380" s="1384"/>
      <c r="P380" s="1385"/>
    </row>
    <row r="381" spans="1:16" ht="27" customHeight="1" hidden="1">
      <c r="A381" s="34"/>
      <c r="B381" s="27"/>
      <c r="C381" s="27"/>
      <c r="D381" s="646"/>
      <c r="E381" s="646"/>
      <c r="F381" s="287"/>
      <c r="G381" s="796"/>
      <c r="I381" s="759"/>
      <c r="J381" s="759"/>
      <c r="K381" s="759"/>
      <c r="L381" s="759"/>
      <c r="M381" s="759"/>
      <c r="N381" s="1405"/>
      <c r="O381" s="1405"/>
      <c r="P381" s="1406"/>
    </row>
    <row r="382" spans="1:16" ht="27" customHeight="1" hidden="1">
      <c r="A382" s="34"/>
      <c r="B382" s="27"/>
      <c r="C382" s="27"/>
      <c r="D382" s="646"/>
      <c r="E382" s="646"/>
      <c r="F382" s="287"/>
      <c r="G382" s="796"/>
      <c r="H382" s="773"/>
      <c r="I382" s="759"/>
      <c r="J382" s="759"/>
      <c r="K382" s="759"/>
      <c r="L382" s="759"/>
      <c r="M382" s="759"/>
      <c r="N382" s="1353"/>
      <c r="O382" s="1353"/>
      <c r="P382" s="1354"/>
    </row>
    <row r="383" spans="1:16" ht="27" customHeight="1" hidden="1">
      <c r="A383" s="34"/>
      <c r="B383" s="27"/>
      <c r="C383" s="27"/>
      <c r="D383" s="646"/>
      <c r="E383" s="646"/>
      <c r="F383" s="287"/>
      <c r="G383" s="796"/>
      <c r="H383" s="773"/>
      <c r="I383" s="759"/>
      <c r="J383" s="759"/>
      <c r="K383" s="759"/>
      <c r="L383" s="759"/>
      <c r="M383" s="759"/>
      <c r="N383" s="1353"/>
      <c r="O383" s="1353"/>
      <c r="P383" s="1354"/>
    </row>
    <row r="384" spans="1:16" ht="27" customHeight="1" hidden="1">
      <c r="A384" s="34"/>
      <c r="B384" s="27"/>
      <c r="C384" s="27"/>
      <c r="D384" s="646"/>
      <c r="E384" s="646"/>
      <c r="F384" s="287"/>
      <c r="G384" s="796"/>
      <c r="H384" s="773"/>
      <c r="I384" s="759"/>
      <c r="J384" s="759"/>
      <c r="K384" s="759"/>
      <c r="L384" s="759"/>
      <c r="M384" s="759"/>
      <c r="N384" s="1353"/>
      <c r="O384" s="1353"/>
      <c r="P384" s="1354"/>
    </row>
    <row r="385" spans="1:16" ht="27" customHeight="1" hidden="1">
      <c r="A385" s="34"/>
      <c r="B385" s="27"/>
      <c r="C385" s="27"/>
      <c r="D385" s="646"/>
      <c r="E385" s="646"/>
      <c r="F385" s="287"/>
      <c r="G385" s="796"/>
      <c r="H385" s="773"/>
      <c r="I385" s="759"/>
      <c r="J385" s="759"/>
      <c r="K385" s="759"/>
      <c r="L385" s="759"/>
      <c r="M385" s="759"/>
      <c r="N385" s="761"/>
      <c r="O385" s="761"/>
      <c r="P385" s="762"/>
    </row>
    <row r="386" spans="1:16" ht="27" customHeight="1" hidden="1">
      <c r="A386" s="34"/>
      <c r="B386" s="27"/>
      <c r="C386" s="27"/>
      <c r="D386" s="646"/>
      <c r="E386" s="646"/>
      <c r="F386" s="287"/>
      <c r="G386" s="796"/>
      <c r="H386" s="773"/>
      <c r="I386" s="759"/>
      <c r="J386" s="759"/>
      <c r="K386" s="759"/>
      <c r="L386" s="759"/>
      <c r="M386" s="759"/>
      <c r="N386" s="1353"/>
      <c r="O386" s="1353"/>
      <c r="P386" s="1354"/>
    </row>
    <row r="387" spans="1:16" ht="27" customHeight="1" hidden="1">
      <c r="A387" s="34"/>
      <c r="B387" s="27"/>
      <c r="C387" s="27"/>
      <c r="D387" s="646"/>
      <c r="E387" s="646"/>
      <c r="F387" s="287"/>
      <c r="G387" s="1368"/>
      <c r="H387" s="1369"/>
      <c r="I387" s="759"/>
      <c r="J387" s="759"/>
      <c r="K387" s="759"/>
      <c r="L387" s="759"/>
      <c r="M387" s="759"/>
      <c r="N387" s="1353"/>
      <c r="O387" s="1353"/>
      <c r="P387" s="1354"/>
    </row>
    <row r="388" spans="1:16" ht="27" customHeight="1" hidden="1">
      <c r="A388" s="34"/>
      <c r="B388" s="27"/>
      <c r="C388" s="24"/>
      <c r="D388" s="645"/>
      <c r="E388" s="645"/>
      <c r="F388" s="286"/>
      <c r="G388" s="1386"/>
      <c r="H388" s="1387"/>
      <c r="I388" s="756"/>
      <c r="J388" s="756"/>
      <c r="K388" s="756"/>
      <c r="L388" s="756"/>
      <c r="M388" s="756"/>
      <c r="N388" s="1375"/>
      <c r="O388" s="1375"/>
      <c r="P388" s="1376"/>
    </row>
    <row r="389" spans="1:16" ht="21" customHeight="1">
      <c r="A389" s="34"/>
      <c r="B389" s="28">
        <v>4330</v>
      </c>
      <c r="C389" s="28"/>
      <c r="D389" s="647"/>
      <c r="E389" s="647"/>
      <c r="F389" s="288"/>
      <c r="G389" s="783"/>
      <c r="H389" s="783"/>
      <c r="I389" s="783"/>
      <c r="J389" s="783"/>
      <c r="K389" s="783"/>
      <c r="L389" s="783"/>
      <c r="M389" s="783"/>
      <c r="N389" s="784"/>
      <c r="O389" s="784"/>
      <c r="P389" s="785"/>
    </row>
    <row r="390" spans="1:16" ht="30" customHeight="1">
      <c r="A390" s="25"/>
      <c r="B390" s="27" t="s">
        <v>283</v>
      </c>
      <c r="C390" s="24"/>
      <c r="D390" s="645">
        <f>D392+D400</f>
        <v>815475</v>
      </c>
      <c r="E390" s="645">
        <f>E392+E400</f>
        <v>980000</v>
      </c>
      <c r="F390" s="286">
        <f>D390-E390</f>
        <v>-164525</v>
      </c>
      <c r="G390" s="756"/>
      <c r="H390" s="756"/>
      <c r="I390" s="756"/>
      <c r="J390" s="756"/>
      <c r="K390" s="756"/>
      <c r="L390" s="756"/>
      <c r="M390" s="756"/>
      <c r="N390" s="757"/>
      <c r="O390" s="757"/>
      <c r="P390" s="758"/>
    </row>
    <row r="391" spans="1:16" ht="26.25" customHeight="1">
      <c r="A391" s="34"/>
      <c r="B391" s="27"/>
      <c r="C391" s="27">
        <v>4331</v>
      </c>
      <c r="D391" s="646"/>
      <c r="E391" s="646"/>
      <c r="F391" s="287"/>
      <c r="G391" s="773"/>
      <c r="H391" s="759"/>
      <c r="I391" s="759"/>
      <c r="J391" s="759"/>
      <c r="K391" s="759"/>
      <c r="L391" s="759"/>
      <c r="M391" s="759"/>
      <c r="N391" s="761"/>
      <c r="O391" s="761"/>
      <c r="P391" s="762"/>
    </row>
    <row r="392" spans="1:16" ht="27.75" customHeight="1">
      <c r="A392" s="34"/>
      <c r="B392" s="27"/>
      <c r="C392" s="27" t="s">
        <v>284</v>
      </c>
      <c r="D392" s="646">
        <v>193900</v>
      </c>
      <c r="E392" s="655">
        <v>190000</v>
      </c>
      <c r="F392" s="287">
        <f>D392-E392</f>
        <v>3900</v>
      </c>
      <c r="G392" s="759" t="s">
        <v>337</v>
      </c>
      <c r="H392" s="773"/>
      <c r="I392" s="773"/>
      <c r="J392" s="773"/>
      <c r="K392" s="773"/>
      <c r="L392" s="773"/>
      <c r="M392" s="773"/>
      <c r="N392" s="793"/>
      <c r="O392" s="793"/>
      <c r="P392" s="794"/>
    </row>
    <row r="393" spans="1:16" ht="30" customHeight="1">
      <c r="A393" s="34"/>
      <c r="B393" s="27"/>
      <c r="C393" s="27"/>
      <c r="D393" s="646"/>
      <c r="E393" s="646"/>
      <c r="F393" s="287"/>
      <c r="G393" s="773" t="s">
        <v>956</v>
      </c>
      <c r="H393" s="773"/>
      <c r="I393" s="773"/>
      <c r="J393" s="773"/>
      <c r="K393" s="773"/>
      <c r="L393" s="773"/>
      <c r="M393" s="773"/>
      <c r="N393" s="1353">
        <v>10000000</v>
      </c>
      <c r="O393" s="1353"/>
      <c r="P393" s="1354"/>
    </row>
    <row r="394" spans="1:16" ht="30" customHeight="1">
      <c r="A394" s="34"/>
      <c r="B394" s="27"/>
      <c r="C394" s="27"/>
      <c r="D394" s="646"/>
      <c r="E394" s="646"/>
      <c r="F394" s="287"/>
      <c r="G394" s="1368" t="s">
        <v>383</v>
      </c>
      <c r="H394" s="1369"/>
      <c r="I394" s="773"/>
      <c r="J394" s="773"/>
      <c r="K394" s="773"/>
      <c r="L394" s="773"/>
      <c r="M394" s="773"/>
      <c r="N394" s="1353">
        <f>SUM(N393)</f>
        <v>10000000</v>
      </c>
      <c r="O394" s="1353"/>
      <c r="P394" s="1354"/>
    </row>
    <row r="395" spans="1:16" ht="30" customHeight="1">
      <c r="A395" s="34"/>
      <c r="B395" s="27"/>
      <c r="C395" s="27"/>
      <c r="D395" s="646"/>
      <c r="E395" s="646"/>
      <c r="F395" s="287"/>
      <c r="G395" s="781" t="s">
        <v>6</v>
      </c>
      <c r="H395" s="796"/>
      <c r="I395" s="759"/>
      <c r="J395" s="759"/>
      <c r="K395" s="759"/>
      <c r="L395" s="759"/>
      <c r="M395" s="759"/>
      <c r="N395" s="1351" t="s">
        <v>3</v>
      </c>
      <c r="O395" s="1351"/>
      <c r="P395" s="1352"/>
    </row>
    <row r="396" spans="1:16" ht="30" customHeight="1">
      <c r="A396" s="34"/>
      <c r="B396" s="27"/>
      <c r="C396" s="27"/>
      <c r="D396" s="646"/>
      <c r="E396" s="646"/>
      <c r="F396" s="287"/>
      <c r="G396" s="773" t="s">
        <v>658</v>
      </c>
      <c r="H396" s="796"/>
      <c r="I396" s="759"/>
      <c r="J396" s="759"/>
      <c r="K396" s="759"/>
      <c r="L396" s="759"/>
      <c r="M396" s="759"/>
      <c r="N396" s="1353">
        <v>183900000</v>
      </c>
      <c r="O396" s="1353"/>
      <c r="P396" s="1354"/>
    </row>
    <row r="397" spans="1:16" ht="30" customHeight="1">
      <c r="A397" s="34"/>
      <c r="B397" s="27"/>
      <c r="C397" s="27"/>
      <c r="D397" s="646"/>
      <c r="E397" s="646"/>
      <c r="F397" s="287"/>
      <c r="G397" s="1368" t="s">
        <v>359</v>
      </c>
      <c r="H397" s="1369"/>
      <c r="I397" s="759"/>
      <c r="J397" s="759"/>
      <c r="K397" s="759"/>
      <c r="L397" s="759"/>
      <c r="M397" s="759"/>
      <c r="N397" s="761"/>
      <c r="O397" s="761"/>
      <c r="P397" s="762">
        <f>SUM(N396)</f>
        <v>183900000</v>
      </c>
    </row>
    <row r="398" spans="1:16" ht="30" customHeight="1">
      <c r="A398" s="34"/>
      <c r="B398" s="27"/>
      <c r="C398" s="27"/>
      <c r="D398" s="646"/>
      <c r="E398" s="646"/>
      <c r="F398" s="287"/>
      <c r="G398" s="1368" t="s">
        <v>4</v>
      </c>
      <c r="H398" s="1369"/>
      <c r="I398" s="759"/>
      <c r="J398" s="759"/>
      <c r="K398" s="759"/>
      <c r="L398" s="759"/>
      <c r="M398" s="759"/>
      <c r="N398" s="1353">
        <f>SUM(N394+P397)</f>
        <v>193900000</v>
      </c>
      <c r="O398" s="1353"/>
      <c r="P398" s="1354"/>
    </row>
    <row r="399" spans="1:16" ht="24" customHeight="1">
      <c r="A399" s="34"/>
      <c r="B399" s="27"/>
      <c r="C399" s="28">
        <v>4332</v>
      </c>
      <c r="D399" s="647"/>
      <c r="E399" s="647"/>
      <c r="F399" s="288"/>
      <c r="G399" s="763"/>
      <c r="H399" s="880"/>
      <c r="I399" s="880"/>
      <c r="J399" s="880"/>
      <c r="K399" s="783"/>
      <c r="L399" s="783"/>
      <c r="M399" s="783"/>
      <c r="N399" s="1397"/>
      <c r="O399" s="1397"/>
      <c r="P399" s="1398"/>
    </row>
    <row r="400" spans="1:16" ht="27.75" customHeight="1">
      <c r="A400" s="34"/>
      <c r="B400" s="27"/>
      <c r="C400" s="27" t="s">
        <v>285</v>
      </c>
      <c r="D400" s="646">
        <v>621575</v>
      </c>
      <c r="E400" s="655">
        <v>790000</v>
      </c>
      <c r="F400" s="287">
        <f>D400-E400</f>
        <v>-168425</v>
      </c>
      <c r="G400" s="781" t="s">
        <v>337</v>
      </c>
      <c r="H400" s="773"/>
      <c r="I400" s="773"/>
      <c r="J400" s="773"/>
      <c r="K400" s="773"/>
      <c r="L400" s="773"/>
      <c r="M400" s="773"/>
      <c r="N400" s="1359"/>
      <c r="O400" s="1359"/>
      <c r="P400" s="1360"/>
    </row>
    <row r="401" spans="1:16" ht="30" customHeight="1">
      <c r="A401" s="34"/>
      <c r="B401" s="27"/>
      <c r="C401" s="27"/>
      <c r="D401" s="646"/>
      <c r="E401" s="646"/>
      <c r="F401" s="287"/>
      <c r="G401" s="773" t="s">
        <v>1368</v>
      </c>
      <c r="H401" s="773"/>
      <c r="I401" s="773"/>
      <c r="J401" s="773"/>
      <c r="K401" s="773"/>
      <c r="L401" s="773"/>
      <c r="M401" s="773"/>
      <c r="N401" s="1353">
        <v>100000000</v>
      </c>
      <c r="O401" s="1353"/>
      <c r="P401" s="1354"/>
    </row>
    <row r="402" spans="1:16" ht="30" customHeight="1">
      <c r="A402" s="34"/>
      <c r="B402" s="27"/>
      <c r="C402" s="27"/>
      <c r="D402" s="646"/>
      <c r="E402" s="646"/>
      <c r="F402" s="287"/>
      <c r="G402" s="781" t="s">
        <v>1369</v>
      </c>
      <c r="H402" s="796"/>
      <c r="I402" s="759"/>
      <c r="J402" s="759"/>
      <c r="K402" s="759"/>
      <c r="L402" s="759"/>
      <c r="M402" s="759"/>
      <c r="N402" s="1353">
        <v>5000000</v>
      </c>
      <c r="O402" s="1353"/>
      <c r="P402" s="1354"/>
    </row>
    <row r="403" spans="1:16" ht="30" customHeight="1">
      <c r="A403" s="34"/>
      <c r="B403" s="27"/>
      <c r="C403" s="27"/>
      <c r="D403" s="646"/>
      <c r="E403" s="646"/>
      <c r="F403" s="287"/>
      <c r="G403" s="1368" t="s">
        <v>383</v>
      </c>
      <c r="H403" s="1369"/>
      <c r="I403" s="759"/>
      <c r="J403" s="759"/>
      <c r="K403" s="759"/>
      <c r="L403" s="759"/>
      <c r="M403" s="759"/>
      <c r="N403" s="1353">
        <f>SUM(N401:P402)</f>
        <v>105000000</v>
      </c>
      <c r="O403" s="1353"/>
      <c r="P403" s="1354"/>
    </row>
    <row r="404" spans="1:16" ht="29.25" customHeight="1">
      <c r="A404" s="34"/>
      <c r="B404" s="27"/>
      <c r="C404" s="27"/>
      <c r="D404" s="646"/>
      <c r="E404" s="646"/>
      <c r="F404" s="287"/>
      <c r="G404" s="781" t="s">
        <v>6</v>
      </c>
      <c r="H404" s="796"/>
      <c r="I404" s="759"/>
      <c r="J404" s="759"/>
      <c r="K404" s="759"/>
      <c r="L404" s="759"/>
      <c r="M404" s="759"/>
      <c r="N404" s="1351" t="s">
        <v>3</v>
      </c>
      <c r="O404" s="1351"/>
      <c r="P404" s="1352"/>
    </row>
    <row r="405" spans="1:16" ht="29.25" customHeight="1">
      <c r="A405" s="34"/>
      <c r="B405" s="27"/>
      <c r="C405" s="27"/>
      <c r="D405" s="646"/>
      <c r="E405" s="646"/>
      <c r="F405" s="287"/>
      <c r="G405" s="781" t="s">
        <v>1370</v>
      </c>
      <c r="H405" s="796"/>
      <c r="I405" s="759"/>
      <c r="J405" s="759"/>
      <c r="K405" s="759"/>
      <c r="L405" s="759"/>
      <c r="M405" s="759"/>
      <c r="N405" s="1353">
        <v>50000000</v>
      </c>
      <c r="O405" s="1353"/>
      <c r="P405" s="1354"/>
    </row>
    <row r="406" spans="1:16" ht="29.25" customHeight="1">
      <c r="A406" s="34"/>
      <c r="B406" s="27"/>
      <c r="C406" s="27"/>
      <c r="D406" s="646"/>
      <c r="E406" s="646"/>
      <c r="F406" s="287"/>
      <c r="G406" s="781" t="s">
        <v>1372</v>
      </c>
      <c r="H406" s="796"/>
      <c r="I406" s="759"/>
      <c r="J406" s="759"/>
      <c r="K406" s="759"/>
      <c r="L406" s="759"/>
      <c r="M406" s="759"/>
      <c r="N406" s="1353">
        <v>200000000</v>
      </c>
      <c r="O406" s="1353"/>
      <c r="P406" s="1354"/>
    </row>
    <row r="407" spans="1:16" ht="29.25" customHeight="1">
      <c r="A407" s="25"/>
      <c r="B407" s="27"/>
      <c r="C407" s="27"/>
      <c r="D407" s="646"/>
      <c r="E407" s="646"/>
      <c r="F407" s="287"/>
      <c r="G407" s="781" t="s">
        <v>1371</v>
      </c>
      <c r="H407" s="796"/>
      <c r="I407" s="759"/>
      <c r="J407" s="759"/>
      <c r="K407" s="759"/>
      <c r="L407" s="759"/>
      <c r="M407" s="759"/>
      <c r="N407" s="1353">
        <v>145420000</v>
      </c>
      <c r="O407" s="1353"/>
      <c r="P407" s="1354"/>
    </row>
    <row r="408" spans="1:16" ht="29.25" customHeight="1">
      <c r="A408" s="25"/>
      <c r="B408" s="27"/>
      <c r="C408" s="27"/>
      <c r="D408" s="646"/>
      <c r="E408" s="646"/>
      <c r="F408" s="287"/>
      <c r="G408" s="781" t="s">
        <v>82</v>
      </c>
      <c r="H408" s="796"/>
      <c r="I408" s="759"/>
      <c r="J408" s="759"/>
      <c r="K408" s="759"/>
      <c r="L408" s="759"/>
      <c r="M408" s="759"/>
      <c r="N408" s="1353">
        <v>30000000</v>
      </c>
      <c r="O408" s="1353"/>
      <c r="P408" s="1354"/>
    </row>
    <row r="409" spans="1:16" ht="29.25" customHeight="1">
      <c r="A409" s="25"/>
      <c r="B409" s="27"/>
      <c r="C409" s="27"/>
      <c r="D409" s="646"/>
      <c r="E409" s="646"/>
      <c r="F409" s="287"/>
      <c r="G409" s="781" t="s">
        <v>1206</v>
      </c>
      <c r="H409" s="796"/>
      <c r="I409" s="759"/>
      <c r="J409" s="759"/>
      <c r="K409" s="759"/>
      <c r="L409" s="759"/>
      <c r="M409" s="759"/>
      <c r="N409" s="761"/>
      <c r="O409" s="761"/>
      <c r="P409" s="762">
        <v>91155000</v>
      </c>
    </row>
    <row r="410" spans="1:16" ht="29.25" customHeight="1">
      <c r="A410" s="25"/>
      <c r="B410" s="27"/>
      <c r="C410" s="27"/>
      <c r="D410" s="646"/>
      <c r="E410" s="646"/>
      <c r="F410" s="287"/>
      <c r="G410" s="1368" t="s">
        <v>359</v>
      </c>
      <c r="H410" s="1369"/>
      <c r="I410" s="759"/>
      <c r="J410" s="759"/>
      <c r="K410" s="759"/>
      <c r="L410" s="759"/>
      <c r="M410" s="759"/>
      <c r="N410" s="761"/>
      <c r="O410" s="761"/>
      <c r="P410" s="762">
        <f>SUM(N405:P409)</f>
        <v>516575000</v>
      </c>
    </row>
    <row r="411" spans="1:16" ht="29.25" customHeight="1">
      <c r="A411" s="952"/>
      <c r="B411" s="949"/>
      <c r="C411" s="949"/>
      <c r="D411" s="650"/>
      <c r="E411" s="650"/>
      <c r="F411" s="950"/>
      <c r="G411" s="1386" t="s">
        <v>4</v>
      </c>
      <c r="H411" s="1387"/>
      <c r="I411" s="791"/>
      <c r="J411" s="791"/>
      <c r="K411" s="791"/>
      <c r="L411" s="791"/>
      <c r="M411" s="791"/>
      <c r="N411" s="1375">
        <f>+N403+P410</f>
        <v>621575000</v>
      </c>
      <c r="O411" s="1375"/>
      <c r="P411" s="1376"/>
    </row>
    <row r="412" spans="1:16" ht="31.5" customHeight="1">
      <c r="A412" s="25">
        <v>4400</v>
      </c>
      <c r="B412" s="27"/>
      <c r="C412" s="27"/>
      <c r="D412" s="656"/>
      <c r="E412" s="656"/>
      <c r="F412" s="303"/>
      <c r="G412" s="781"/>
      <c r="H412" s="796"/>
      <c r="I412" s="759"/>
      <c r="J412" s="759"/>
      <c r="K412" s="759"/>
      <c r="L412" s="759"/>
      <c r="M412" s="759"/>
      <c r="N412" s="761"/>
      <c r="O412" s="761"/>
      <c r="P412" s="762"/>
    </row>
    <row r="413" spans="1:16" ht="31.5" customHeight="1">
      <c r="A413" s="25" t="s">
        <v>110</v>
      </c>
      <c r="B413" s="24" t="s">
        <v>3</v>
      </c>
      <c r="C413" s="24"/>
      <c r="D413" s="645">
        <f>D419+D415</f>
        <v>22022</v>
      </c>
      <c r="E413" s="645">
        <f>E419+E415</f>
        <v>10000</v>
      </c>
      <c r="F413" s="286">
        <f>D413-E413</f>
        <v>12022</v>
      </c>
      <c r="G413" s="777"/>
      <c r="H413" s="800"/>
      <c r="I413" s="756"/>
      <c r="J413" s="756"/>
      <c r="K413" s="756"/>
      <c r="L413" s="756"/>
      <c r="M413" s="756"/>
      <c r="N413" s="757"/>
      <c r="O413" s="757"/>
      <c r="P413" s="758"/>
    </row>
    <row r="414" spans="1:16" ht="27" customHeight="1">
      <c r="A414" s="34"/>
      <c r="B414" s="27">
        <v>4410</v>
      </c>
      <c r="C414" s="27"/>
      <c r="D414" s="646"/>
      <c r="E414" s="646"/>
      <c r="F414" s="287"/>
      <c r="G414" s="781"/>
      <c r="H414" s="796"/>
      <c r="I414" s="759"/>
      <c r="J414" s="759"/>
      <c r="K414" s="759"/>
      <c r="L414" s="759"/>
      <c r="M414" s="759"/>
      <c r="N414" s="761"/>
      <c r="O414" s="761"/>
      <c r="P414" s="762"/>
    </row>
    <row r="415" spans="1:16" ht="31.5" customHeight="1">
      <c r="A415" s="92"/>
      <c r="B415" s="27" t="s">
        <v>175</v>
      </c>
      <c r="C415" s="27"/>
      <c r="D415" s="646">
        <f>D417</f>
        <v>0</v>
      </c>
      <c r="E415" s="646">
        <f>E417</f>
        <v>0</v>
      </c>
      <c r="F415" s="286">
        <f>D415-E415</f>
        <v>0</v>
      </c>
      <c r="G415" s="781"/>
      <c r="H415" s="796"/>
      <c r="I415" s="759"/>
      <c r="J415" s="759"/>
      <c r="K415" s="759"/>
      <c r="L415" s="759"/>
      <c r="M415" s="759"/>
      <c r="N415" s="761"/>
      <c r="O415" s="761"/>
      <c r="P415" s="762"/>
    </row>
    <row r="416" spans="1:16" ht="24.75" customHeight="1">
      <c r="A416" s="25"/>
      <c r="B416" s="27"/>
      <c r="C416" s="28">
        <v>4411</v>
      </c>
      <c r="D416" s="647"/>
      <c r="E416" s="647"/>
      <c r="F416" s="288"/>
      <c r="G416" s="815"/>
      <c r="H416" s="816"/>
      <c r="I416" s="783"/>
      <c r="J416" s="783"/>
      <c r="K416" s="783"/>
      <c r="L416" s="783"/>
      <c r="M416" s="783"/>
      <c r="N416" s="784"/>
      <c r="O416" s="784"/>
      <c r="P416" s="785"/>
    </row>
    <row r="417" spans="1:16" ht="31.5" customHeight="1">
      <c r="A417" s="25"/>
      <c r="B417" s="27"/>
      <c r="C417" s="27" t="s">
        <v>175</v>
      </c>
      <c r="D417" s="646">
        <v>0</v>
      </c>
      <c r="E417" s="646">
        <v>0</v>
      </c>
      <c r="F417" s="287">
        <f>D417-E417</f>
        <v>0</v>
      </c>
      <c r="G417" s="781" t="s">
        <v>3</v>
      </c>
      <c r="H417" s="773"/>
      <c r="I417" s="773"/>
      <c r="J417" s="773"/>
      <c r="K417" s="773"/>
      <c r="L417" s="773"/>
      <c r="M417" s="773"/>
      <c r="N417" s="1359" t="s">
        <v>3</v>
      </c>
      <c r="O417" s="1359"/>
      <c r="P417" s="1360"/>
    </row>
    <row r="418" spans="1:16" ht="27.75" customHeight="1">
      <c r="A418" s="25"/>
      <c r="B418" s="28">
        <v>4420</v>
      </c>
      <c r="C418" s="28"/>
      <c r="D418" s="647"/>
      <c r="E418" s="647"/>
      <c r="F418" s="288"/>
      <c r="G418" s="817"/>
      <c r="H418" s="816"/>
      <c r="I418" s="783"/>
      <c r="J418" s="783"/>
      <c r="K418" s="783"/>
      <c r="L418" s="783"/>
      <c r="M418" s="783"/>
      <c r="N418" s="784"/>
      <c r="O418" s="784"/>
      <c r="P418" s="785"/>
    </row>
    <row r="419" spans="1:16" ht="31.5" customHeight="1">
      <c r="A419" s="25"/>
      <c r="B419" s="27" t="s">
        <v>287</v>
      </c>
      <c r="C419" s="306"/>
      <c r="D419" s="657">
        <f>D421</f>
        <v>22022</v>
      </c>
      <c r="E419" s="657">
        <f>E421</f>
        <v>10000</v>
      </c>
      <c r="F419" s="294">
        <f>D419-E419</f>
        <v>12022</v>
      </c>
      <c r="G419" s="790"/>
      <c r="H419" s="818"/>
      <c r="I419" s="791"/>
      <c r="J419" s="791"/>
      <c r="K419" s="791"/>
      <c r="L419" s="791"/>
      <c r="M419" s="791"/>
      <c r="N419" s="1035"/>
      <c r="O419" s="1035"/>
      <c r="P419" s="1036"/>
    </row>
    <row r="420" spans="1:16" ht="27.75" customHeight="1">
      <c r="A420" s="25"/>
      <c r="B420" s="27"/>
      <c r="C420" s="27">
        <v>4421</v>
      </c>
      <c r="D420" s="646"/>
      <c r="E420" s="646"/>
      <c r="F420" s="287"/>
      <c r="G420" s="759" t="s">
        <v>337</v>
      </c>
      <c r="H420" s="773"/>
      <c r="I420" s="773"/>
      <c r="J420" s="773"/>
      <c r="K420" s="773"/>
      <c r="L420" s="773"/>
      <c r="M420" s="773"/>
      <c r="N420" s="793"/>
      <c r="O420" s="793"/>
      <c r="P420" s="794"/>
    </row>
    <row r="421" spans="1:16" ht="27.75" customHeight="1">
      <c r="A421" s="25"/>
      <c r="B421" s="27"/>
      <c r="C421" s="27" t="s">
        <v>111</v>
      </c>
      <c r="D421" s="646">
        <v>22022</v>
      </c>
      <c r="E421" s="655">
        <v>10000</v>
      </c>
      <c r="F421" s="287">
        <f>D421-E421</f>
        <v>12022</v>
      </c>
      <c r="G421" s="773" t="s">
        <v>1012</v>
      </c>
      <c r="H421" s="773"/>
      <c r="I421" s="773"/>
      <c r="J421" s="773"/>
      <c r="K421" s="773"/>
      <c r="L421" s="773"/>
      <c r="M421" s="773"/>
      <c r="N421" s="1353">
        <v>10000000</v>
      </c>
      <c r="O421" s="1353"/>
      <c r="P421" s="1354"/>
    </row>
    <row r="422" spans="1:16" ht="27.75" customHeight="1" hidden="1">
      <c r="A422" s="25"/>
      <c r="B422" s="27"/>
      <c r="C422" s="27"/>
      <c r="D422" s="646"/>
      <c r="E422" s="646"/>
      <c r="F422" s="287"/>
      <c r="G422" s="776"/>
      <c r="H422" s="773"/>
      <c r="I422" s="773"/>
      <c r="J422" s="773"/>
      <c r="K422" s="773"/>
      <c r="L422" s="773"/>
      <c r="M422" s="773"/>
      <c r="N422" s="1353"/>
      <c r="O422" s="1353"/>
      <c r="P422" s="1354"/>
    </row>
    <row r="423" spans="1:16" ht="27.75" customHeight="1" hidden="1">
      <c r="A423" s="25"/>
      <c r="B423" s="27"/>
      <c r="C423" s="27"/>
      <c r="D423" s="646"/>
      <c r="E423" s="646"/>
      <c r="F423" s="287"/>
      <c r="G423" s="1368"/>
      <c r="H423" s="1369"/>
      <c r="I423" s="773"/>
      <c r="J423" s="773"/>
      <c r="K423" s="773"/>
      <c r="L423" s="773"/>
      <c r="M423" s="773"/>
      <c r="N423" s="1353"/>
      <c r="O423" s="1353"/>
      <c r="P423" s="1354"/>
    </row>
    <row r="424" spans="1:16" ht="27.75" customHeight="1" hidden="1">
      <c r="A424" s="25"/>
      <c r="B424" s="27"/>
      <c r="C424" s="27"/>
      <c r="D424" s="646"/>
      <c r="E424" s="646"/>
      <c r="F424" s="287"/>
      <c r="G424" s="759"/>
      <c r="H424" s="773"/>
      <c r="I424" s="773"/>
      <c r="J424" s="773"/>
      <c r="K424" s="773"/>
      <c r="L424" s="773"/>
      <c r="M424" s="773"/>
      <c r="N424" s="793"/>
      <c r="O424" s="793"/>
      <c r="P424" s="794"/>
    </row>
    <row r="425" spans="1:16" ht="27.75" customHeight="1" hidden="1">
      <c r="A425" s="25"/>
      <c r="B425" s="27"/>
      <c r="C425" s="27"/>
      <c r="D425" s="646"/>
      <c r="E425" s="646"/>
      <c r="F425" s="287"/>
      <c r="G425" s="776"/>
      <c r="H425" s="773"/>
      <c r="I425" s="773"/>
      <c r="J425" s="773"/>
      <c r="K425" s="773"/>
      <c r="L425" s="773"/>
      <c r="M425" s="773"/>
      <c r="N425" s="1353"/>
      <c r="O425" s="1353"/>
      <c r="P425" s="1354"/>
    </row>
    <row r="426" spans="1:16" ht="27.75" customHeight="1" hidden="1">
      <c r="A426" s="25"/>
      <c r="B426" s="27"/>
      <c r="C426" s="27"/>
      <c r="D426" s="646"/>
      <c r="E426" s="646"/>
      <c r="F426" s="287"/>
      <c r="G426" s="1368"/>
      <c r="H426" s="1369"/>
      <c r="I426" s="773"/>
      <c r="J426" s="773"/>
      <c r="K426" s="773"/>
      <c r="L426" s="773"/>
      <c r="M426" s="773"/>
      <c r="N426" s="761"/>
      <c r="O426" s="761"/>
      <c r="P426" s="762"/>
    </row>
    <row r="427" spans="1:16" ht="27.75" customHeight="1" hidden="1">
      <c r="A427" s="25"/>
      <c r="B427" s="27"/>
      <c r="C427" s="27"/>
      <c r="D427" s="646"/>
      <c r="E427" s="646"/>
      <c r="F427" s="287"/>
      <c r="G427" s="1368"/>
      <c r="H427" s="1369"/>
      <c r="I427" s="773"/>
      <c r="J427" s="773"/>
      <c r="K427" s="773"/>
      <c r="L427" s="773"/>
      <c r="M427" s="773"/>
      <c r="N427" s="1353"/>
      <c r="O427" s="1353"/>
      <c r="P427" s="1354"/>
    </row>
    <row r="428" spans="1:16" ht="27.75" customHeight="1">
      <c r="A428" s="25"/>
      <c r="B428" s="27"/>
      <c r="C428" s="27"/>
      <c r="D428" s="646"/>
      <c r="E428" s="646"/>
      <c r="F428" s="287"/>
      <c r="G428" s="759" t="s">
        <v>1207</v>
      </c>
      <c r="H428" s="773"/>
      <c r="I428" s="773"/>
      <c r="J428" s="773"/>
      <c r="K428" s="773"/>
      <c r="L428" s="773"/>
      <c r="M428" s="773"/>
      <c r="N428" s="793"/>
      <c r="O428" s="793"/>
      <c r="P428" s="794"/>
    </row>
    <row r="429" spans="1:16" ht="27.75" customHeight="1">
      <c r="A429" s="952"/>
      <c r="B429" s="949"/>
      <c r="C429" s="949"/>
      <c r="D429" s="650"/>
      <c r="E429" s="650"/>
      <c r="F429" s="950"/>
      <c r="G429" s="1078" t="s">
        <v>1012</v>
      </c>
      <c r="H429" s="1078"/>
      <c r="I429" s="1078"/>
      <c r="J429" s="1078"/>
      <c r="K429" s="1078"/>
      <c r="L429" s="1078"/>
      <c r="M429" s="1078"/>
      <c r="N429" s="1375">
        <v>12022000</v>
      </c>
      <c r="O429" s="1375"/>
      <c r="P429" s="1376"/>
    </row>
    <row r="430" spans="1:16" ht="24" customHeight="1">
      <c r="A430" s="25">
        <v>4500</v>
      </c>
      <c r="B430" s="27"/>
      <c r="C430" s="27"/>
      <c r="D430" s="656"/>
      <c r="E430" s="656"/>
      <c r="F430" s="303"/>
      <c r="G430" s="781"/>
      <c r="H430" s="796"/>
      <c r="I430" s="759"/>
      <c r="J430" s="759"/>
      <c r="K430" s="759"/>
      <c r="L430" s="759"/>
      <c r="M430" s="759"/>
      <c r="N430" s="761"/>
      <c r="O430" s="761"/>
      <c r="P430" s="762"/>
    </row>
    <row r="431" spans="1:16" ht="31.5" customHeight="1">
      <c r="A431" s="25" t="s">
        <v>45</v>
      </c>
      <c r="B431" s="24" t="s">
        <v>3</v>
      </c>
      <c r="C431" s="24"/>
      <c r="D431" s="645">
        <f>D433</f>
        <v>0</v>
      </c>
      <c r="E431" s="645">
        <f>E433</f>
        <v>0</v>
      </c>
      <c r="F431" s="286">
        <f>D431-E431</f>
        <v>0</v>
      </c>
      <c r="G431" s="777"/>
      <c r="H431" s="800"/>
      <c r="I431" s="756"/>
      <c r="J431" s="756"/>
      <c r="K431" s="756"/>
      <c r="L431" s="756"/>
      <c r="M431" s="756"/>
      <c r="N431" s="757"/>
      <c r="O431" s="757"/>
      <c r="P431" s="758"/>
    </row>
    <row r="432" spans="1:16" ht="31.5" customHeight="1">
      <c r="A432" s="34"/>
      <c r="B432" s="27">
        <v>4510</v>
      </c>
      <c r="C432" s="27"/>
      <c r="D432" s="646"/>
      <c r="E432" s="646"/>
      <c r="F432" s="287"/>
      <c r="G432" s="781"/>
      <c r="H432" s="796"/>
      <c r="I432" s="759"/>
      <c r="J432" s="759"/>
      <c r="K432" s="759"/>
      <c r="L432" s="759"/>
      <c r="M432" s="759"/>
      <c r="N432" s="761"/>
      <c r="O432" s="761"/>
      <c r="P432" s="762"/>
    </row>
    <row r="433" spans="1:16" ht="31.5" customHeight="1">
      <c r="A433" s="92"/>
      <c r="B433" s="27" t="s">
        <v>45</v>
      </c>
      <c r="C433" s="24"/>
      <c r="D433" s="645">
        <f>D435+D437</f>
        <v>0</v>
      </c>
      <c r="E433" s="645">
        <f>E435+E437</f>
        <v>0</v>
      </c>
      <c r="F433" s="286">
        <f>D433-E433</f>
        <v>0</v>
      </c>
      <c r="G433" s="777"/>
      <c r="H433" s="800"/>
      <c r="I433" s="756"/>
      <c r="J433" s="756"/>
      <c r="K433" s="756"/>
      <c r="L433" s="756"/>
      <c r="M433" s="756"/>
      <c r="N433" s="757"/>
      <c r="O433" s="757"/>
      <c r="P433" s="758"/>
    </row>
    <row r="434" spans="1:16" ht="30" customHeight="1">
      <c r="A434" s="25"/>
      <c r="B434" s="27"/>
      <c r="C434" s="27">
        <v>4516</v>
      </c>
      <c r="D434" s="646"/>
      <c r="E434" s="646"/>
      <c r="F434" s="287"/>
      <c r="G434" s="819"/>
      <c r="H434" s="796"/>
      <c r="I434" s="759"/>
      <c r="J434" s="759"/>
      <c r="K434" s="759"/>
      <c r="L434" s="759"/>
      <c r="M434" s="759"/>
      <c r="N434" s="761"/>
      <c r="O434" s="761"/>
      <c r="P434" s="762"/>
    </row>
    <row r="435" spans="1:16" ht="30" customHeight="1">
      <c r="A435" s="25"/>
      <c r="B435" s="27"/>
      <c r="C435" s="24" t="s">
        <v>46</v>
      </c>
      <c r="D435" s="645">
        <v>0</v>
      </c>
      <c r="E435" s="645">
        <v>0</v>
      </c>
      <c r="F435" s="286">
        <f>D435-E435</f>
        <v>0</v>
      </c>
      <c r="G435" s="777" t="s">
        <v>3</v>
      </c>
      <c r="H435" s="800"/>
      <c r="I435" s="756"/>
      <c r="J435" s="756"/>
      <c r="K435" s="756"/>
      <c r="L435" s="756"/>
      <c r="M435" s="756"/>
      <c r="N435" s="1375" t="s">
        <v>3</v>
      </c>
      <c r="O435" s="1375"/>
      <c r="P435" s="1376"/>
    </row>
    <row r="436" spans="1:16" ht="33" customHeight="1">
      <c r="A436" s="25"/>
      <c r="B436" s="27"/>
      <c r="C436" s="28">
        <v>4519</v>
      </c>
      <c r="D436" s="647"/>
      <c r="E436" s="647"/>
      <c r="F436" s="288"/>
      <c r="G436" s="815"/>
      <c r="H436" s="816"/>
      <c r="I436" s="783"/>
      <c r="J436" s="783"/>
      <c r="K436" s="783"/>
      <c r="L436" s="783"/>
      <c r="M436" s="783"/>
      <c r="N436" s="784"/>
      <c r="O436" s="784"/>
      <c r="P436" s="785"/>
    </row>
    <row r="437" spans="1:16" ht="40.5">
      <c r="A437" s="25"/>
      <c r="B437" s="27"/>
      <c r="C437" s="881" t="s">
        <v>759</v>
      </c>
      <c r="D437" s="646">
        <v>0</v>
      </c>
      <c r="E437" s="646">
        <v>0</v>
      </c>
      <c r="F437" s="287">
        <f>D437-E437</f>
        <v>0</v>
      </c>
      <c r="G437" s="781"/>
      <c r="H437" s="796"/>
      <c r="I437" s="759"/>
      <c r="J437" s="759"/>
      <c r="K437" s="759"/>
      <c r="L437" s="759"/>
      <c r="M437" s="759"/>
      <c r="N437" s="1353"/>
      <c r="O437" s="1353"/>
      <c r="P437" s="1354"/>
    </row>
    <row r="438" spans="1:16" ht="26.25" customHeight="1">
      <c r="A438" s="1073">
        <v>4600</v>
      </c>
      <c r="B438" s="1074"/>
      <c r="C438" s="1074"/>
      <c r="D438" s="1075"/>
      <c r="E438" s="1075"/>
      <c r="F438" s="954"/>
      <c r="G438" s="1076"/>
      <c r="H438" s="1077"/>
      <c r="I438" s="1077"/>
      <c r="J438" s="1077"/>
      <c r="K438" s="1077"/>
      <c r="L438" s="1077"/>
      <c r="M438" s="1077"/>
      <c r="N438" s="1397"/>
      <c r="O438" s="1397"/>
      <c r="P438" s="1398"/>
    </row>
    <row r="439" spans="1:16" ht="36" customHeight="1">
      <c r="A439" s="25" t="s">
        <v>112</v>
      </c>
      <c r="B439" s="24"/>
      <c r="C439" s="24"/>
      <c r="D439" s="645">
        <f>D441</f>
        <v>600000</v>
      </c>
      <c r="E439" s="645">
        <f>E441</f>
        <v>600000</v>
      </c>
      <c r="F439" s="286">
        <f>D439-E439</f>
        <v>0</v>
      </c>
      <c r="G439" s="777"/>
      <c r="H439" s="756"/>
      <c r="I439" s="756"/>
      <c r="J439" s="756"/>
      <c r="K439" s="756"/>
      <c r="L439" s="756"/>
      <c r="M439" s="756"/>
      <c r="N439" s="1375"/>
      <c r="O439" s="1375"/>
      <c r="P439" s="1376"/>
    </row>
    <row r="440" spans="1:16" ht="21.75" customHeight="1">
      <c r="A440" s="25"/>
      <c r="B440" s="27">
        <v>4610</v>
      </c>
      <c r="C440" s="27"/>
      <c r="D440" s="646"/>
      <c r="E440" s="646"/>
      <c r="F440" s="287"/>
      <c r="G440" s="781"/>
      <c r="H440" s="759"/>
      <c r="I440" s="759"/>
      <c r="J440" s="759"/>
      <c r="K440" s="759"/>
      <c r="L440" s="759"/>
      <c r="M440" s="759"/>
      <c r="N440" s="1353"/>
      <c r="O440" s="1353"/>
      <c r="P440" s="1354"/>
    </row>
    <row r="441" spans="1:16" ht="21.75" customHeight="1">
      <c r="A441" s="25" t="s">
        <v>3</v>
      </c>
      <c r="B441" s="27" t="s">
        <v>112</v>
      </c>
      <c r="C441" s="24"/>
      <c r="D441" s="645">
        <f>SUM(D443)</f>
        <v>600000</v>
      </c>
      <c r="E441" s="645">
        <f>SUM(E443)</f>
        <v>600000</v>
      </c>
      <c r="F441" s="286">
        <f>D441-E441</f>
        <v>0</v>
      </c>
      <c r="G441" s="777"/>
      <c r="H441" s="756"/>
      <c r="I441" s="756"/>
      <c r="J441" s="756"/>
      <c r="K441" s="756"/>
      <c r="L441" s="756"/>
      <c r="M441" s="756"/>
      <c r="N441" s="1375"/>
      <c r="O441" s="1375"/>
      <c r="P441" s="1376"/>
    </row>
    <row r="442" spans="1:16" ht="18.75" customHeight="1">
      <c r="A442" s="25"/>
      <c r="B442" s="27"/>
      <c r="C442" s="27">
        <v>4611</v>
      </c>
      <c r="D442" s="646"/>
      <c r="E442" s="646"/>
      <c r="F442" s="287"/>
      <c r="G442" s="773"/>
      <c r="H442" s="759"/>
      <c r="I442" s="759"/>
      <c r="J442" s="759"/>
      <c r="K442" s="759"/>
      <c r="L442" s="759"/>
      <c r="M442" s="759"/>
      <c r="N442" s="1353"/>
      <c r="O442" s="1353"/>
      <c r="P442" s="1354"/>
    </row>
    <row r="443" spans="1:16" ht="25.5" customHeight="1">
      <c r="A443" s="952"/>
      <c r="B443" s="949"/>
      <c r="C443" s="949" t="s">
        <v>112</v>
      </c>
      <c r="D443" s="650">
        <v>600000</v>
      </c>
      <c r="E443" s="1087">
        <v>600000</v>
      </c>
      <c r="F443" s="950">
        <f>D443-E443</f>
        <v>0</v>
      </c>
      <c r="G443" s="1088" t="s">
        <v>957</v>
      </c>
      <c r="H443" s="1089"/>
      <c r="I443" s="1090"/>
      <c r="J443" s="1090"/>
      <c r="K443" s="1090"/>
      <c r="L443" s="1090"/>
      <c r="M443" s="1090"/>
      <c r="N443" s="1427">
        <v>500000000</v>
      </c>
      <c r="O443" s="1427"/>
      <c r="P443" s="1428"/>
    </row>
    <row r="444" spans="1:16" ht="30" customHeight="1">
      <c r="A444" s="25">
        <v>1200</v>
      </c>
      <c r="B444" s="27"/>
      <c r="C444" s="27"/>
      <c r="D444" s="646"/>
      <c r="E444" s="646"/>
      <c r="F444" s="287"/>
      <c r="G444" s="781"/>
      <c r="H444" s="759"/>
      <c r="I444" s="759"/>
      <c r="J444" s="759"/>
      <c r="K444" s="759"/>
      <c r="L444" s="759"/>
      <c r="M444" s="759"/>
      <c r="N444" s="1353"/>
      <c r="O444" s="1353"/>
      <c r="P444" s="1354"/>
    </row>
    <row r="445" spans="1:16" ht="33.75" customHeight="1">
      <c r="A445" s="42" t="s">
        <v>47</v>
      </c>
      <c r="B445" s="24"/>
      <c r="C445" s="24"/>
      <c r="D445" s="645">
        <f>D457+D451+D447</f>
        <v>41386905</v>
      </c>
      <c r="E445" s="645">
        <f>E457+E451+E447</f>
        <v>22760206</v>
      </c>
      <c r="F445" s="286">
        <f>D445-E445</f>
        <v>18626699</v>
      </c>
      <c r="G445" s="777"/>
      <c r="H445" s="756"/>
      <c r="I445" s="756"/>
      <c r="J445" s="756"/>
      <c r="K445" s="756"/>
      <c r="L445" s="756"/>
      <c r="M445" s="756"/>
      <c r="N445" s="1375"/>
      <c r="O445" s="1375"/>
      <c r="P445" s="1376"/>
    </row>
    <row r="446" spans="1:16" ht="24" customHeight="1">
      <c r="A446" s="25"/>
      <c r="B446" s="27">
        <v>1220</v>
      </c>
      <c r="C446" s="27"/>
      <c r="D446" s="646"/>
      <c r="E446" s="646"/>
      <c r="F446" s="287"/>
      <c r="G446" s="781"/>
      <c r="H446" s="759"/>
      <c r="I446" s="759"/>
      <c r="J446" s="759"/>
      <c r="K446" s="759"/>
      <c r="L446" s="759"/>
      <c r="M446" s="759"/>
      <c r="N446" s="1353"/>
      <c r="O446" s="1353"/>
      <c r="P446" s="1354"/>
    </row>
    <row r="447" spans="1:16" ht="30" customHeight="1">
      <c r="A447" s="25"/>
      <c r="B447" s="32" t="s">
        <v>291</v>
      </c>
      <c r="C447" s="232"/>
      <c r="D447" s="658">
        <f>SUM(D449)</f>
        <v>0</v>
      </c>
      <c r="E447" s="658">
        <f>SUM(E449)</f>
        <v>0</v>
      </c>
      <c r="F447" s="293">
        <f>D447-E447</f>
        <v>0</v>
      </c>
      <c r="G447" s="820"/>
      <c r="H447" s="802"/>
      <c r="I447" s="802"/>
      <c r="J447" s="802"/>
      <c r="K447" s="802"/>
      <c r="L447" s="802"/>
      <c r="M447" s="802"/>
      <c r="N447" s="1423"/>
      <c r="O447" s="1423"/>
      <c r="P447" s="1424"/>
    </row>
    <row r="448" spans="1:16" ht="30" customHeight="1">
      <c r="A448" s="25"/>
      <c r="B448" s="27"/>
      <c r="C448" s="27">
        <v>1221</v>
      </c>
      <c r="D448" s="646"/>
      <c r="E448" s="646"/>
      <c r="F448" s="287"/>
      <c r="G448" s="781"/>
      <c r="H448" s="759"/>
      <c r="I448" s="759"/>
      <c r="J448" s="759"/>
      <c r="K448" s="759"/>
      <c r="L448" s="759"/>
      <c r="M448" s="759"/>
      <c r="N448" s="1353"/>
      <c r="O448" s="1353"/>
      <c r="P448" s="1354"/>
    </row>
    <row r="449" spans="1:16" ht="30" customHeight="1">
      <c r="A449" s="25"/>
      <c r="B449" s="27"/>
      <c r="C449" s="32" t="s">
        <v>292</v>
      </c>
      <c r="D449" s="653">
        <v>0</v>
      </c>
      <c r="E449" s="653">
        <v>0</v>
      </c>
      <c r="F449" s="287">
        <f>D449-E449</f>
        <v>0</v>
      </c>
      <c r="G449" s="781" t="s">
        <v>3</v>
      </c>
      <c r="H449" s="759"/>
      <c r="I449" s="759"/>
      <c r="J449" s="759"/>
      <c r="K449" s="759"/>
      <c r="L449" s="759"/>
      <c r="M449" s="759"/>
      <c r="N449" s="1353" t="s">
        <v>3</v>
      </c>
      <c r="O449" s="1353"/>
      <c r="P449" s="1354"/>
    </row>
    <row r="450" spans="1:16" ht="30" customHeight="1">
      <c r="A450" s="25"/>
      <c r="B450" s="28">
        <v>1240</v>
      </c>
      <c r="C450" s="28"/>
      <c r="D450" s="647"/>
      <c r="E450" s="647"/>
      <c r="F450" s="288"/>
      <c r="G450" s="817"/>
      <c r="H450" s="783"/>
      <c r="I450" s="783"/>
      <c r="J450" s="783"/>
      <c r="K450" s="783"/>
      <c r="L450" s="783"/>
      <c r="M450" s="783"/>
      <c r="N450" s="1397"/>
      <c r="O450" s="1397"/>
      <c r="P450" s="1398"/>
    </row>
    <row r="451" spans="1:16" s="36" customFormat="1" ht="32.25" customHeight="1">
      <c r="A451" s="25"/>
      <c r="B451" s="32" t="s">
        <v>0</v>
      </c>
      <c r="C451" s="24"/>
      <c r="D451" s="645">
        <f>SUM(D455+D453)</f>
        <v>0</v>
      </c>
      <c r="E451" s="645">
        <f>SUM(E455+E453)</f>
        <v>0</v>
      </c>
      <c r="F451" s="286">
        <f>D451-E451</f>
        <v>0</v>
      </c>
      <c r="G451" s="777"/>
      <c r="H451" s="756"/>
      <c r="I451" s="756"/>
      <c r="J451" s="756"/>
      <c r="K451" s="756"/>
      <c r="L451" s="756"/>
      <c r="M451" s="756"/>
      <c r="N451" s="1375"/>
      <c r="O451" s="1375"/>
      <c r="P451" s="1376"/>
    </row>
    <row r="452" spans="1:16" s="36" customFormat="1" ht="32.25" customHeight="1">
      <c r="A452" s="25"/>
      <c r="B452" s="32"/>
      <c r="C452" s="27">
        <v>1242</v>
      </c>
      <c r="D452" s="646"/>
      <c r="E452" s="646"/>
      <c r="F452" s="287"/>
      <c r="G452" s="774"/>
      <c r="H452" s="759"/>
      <c r="I452" s="759"/>
      <c r="J452" s="759"/>
      <c r="K452" s="759"/>
      <c r="L452" s="759"/>
      <c r="M452" s="759"/>
      <c r="N452" s="761"/>
      <c r="O452" s="761"/>
      <c r="P452" s="762"/>
    </row>
    <row r="453" spans="1:16" s="36" customFormat="1" ht="32.25" customHeight="1">
      <c r="A453" s="25"/>
      <c r="B453" s="32"/>
      <c r="C453" s="96" t="s">
        <v>595</v>
      </c>
      <c r="D453" s="660">
        <v>0</v>
      </c>
      <c r="E453" s="660">
        <v>0</v>
      </c>
      <c r="F453" s="286">
        <f>D453-E453</f>
        <v>0</v>
      </c>
      <c r="G453" s="777" t="s">
        <v>3</v>
      </c>
      <c r="H453" s="756"/>
      <c r="I453" s="756"/>
      <c r="J453" s="756"/>
      <c r="K453" s="756"/>
      <c r="L453" s="756"/>
      <c r="M453" s="756"/>
      <c r="N453" s="821"/>
      <c r="O453" s="821"/>
      <c r="P453" s="822"/>
    </row>
    <row r="454" spans="1:16" s="36" customFormat="1" ht="32.25" customHeight="1">
      <c r="A454" s="25"/>
      <c r="B454" s="27"/>
      <c r="C454" s="27">
        <v>1249</v>
      </c>
      <c r="D454" s="646"/>
      <c r="E454" s="646"/>
      <c r="F454" s="287"/>
      <c r="G454" s="774"/>
      <c r="H454" s="759"/>
      <c r="I454" s="759"/>
      <c r="J454" s="759"/>
      <c r="K454" s="759"/>
      <c r="L454" s="759"/>
      <c r="M454" s="759"/>
      <c r="N454" s="761"/>
      <c r="O454" s="761"/>
      <c r="P454" s="762"/>
    </row>
    <row r="455" spans="1:16" ht="32.25" customHeight="1">
      <c r="A455" s="25"/>
      <c r="B455" s="27"/>
      <c r="C455" s="32" t="s">
        <v>0</v>
      </c>
      <c r="D455" s="660">
        <v>0</v>
      </c>
      <c r="E455" s="660">
        <v>0</v>
      </c>
      <c r="F455" s="286">
        <f>D455-E455</f>
        <v>0</v>
      </c>
      <c r="G455" s="777" t="s">
        <v>3</v>
      </c>
      <c r="H455" s="756"/>
      <c r="I455" s="756"/>
      <c r="J455" s="756"/>
      <c r="K455" s="756"/>
      <c r="L455" s="756"/>
      <c r="M455" s="756"/>
      <c r="N455" s="821"/>
      <c r="O455" s="821"/>
      <c r="P455" s="822"/>
    </row>
    <row r="456" spans="1:16" ht="23.25" customHeight="1">
      <c r="A456" s="25"/>
      <c r="B456" s="28">
        <v>1260</v>
      </c>
      <c r="C456" s="28"/>
      <c r="D456" s="647"/>
      <c r="E456" s="647"/>
      <c r="F456" s="288"/>
      <c r="G456" s="817"/>
      <c r="H456" s="783"/>
      <c r="I456" s="783"/>
      <c r="J456" s="783"/>
      <c r="K456" s="783"/>
      <c r="L456" s="783"/>
      <c r="M456" s="783"/>
      <c r="N456" s="1397"/>
      <c r="O456" s="1397"/>
      <c r="P456" s="1398"/>
    </row>
    <row r="457" spans="1:16" s="36" customFormat="1" ht="32.25" customHeight="1">
      <c r="A457" s="25"/>
      <c r="B457" s="32" t="s">
        <v>48</v>
      </c>
      <c r="C457" s="24"/>
      <c r="D457" s="645">
        <f>D461+D459+D467+D465</f>
        <v>41386905</v>
      </c>
      <c r="E457" s="645">
        <f>E461+E459+E467+E465</f>
        <v>22760206</v>
      </c>
      <c r="F457" s="286">
        <f>D457-E457</f>
        <v>18626699</v>
      </c>
      <c r="G457" s="777"/>
      <c r="H457" s="756"/>
      <c r="I457" s="756"/>
      <c r="J457" s="756"/>
      <c r="K457" s="756"/>
      <c r="L457" s="756"/>
      <c r="M457" s="756"/>
      <c r="N457" s="1375"/>
      <c r="O457" s="1375"/>
      <c r="P457" s="1376"/>
    </row>
    <row r="458" spans="1:16" s="36" customFormat="1" ht="24.75" customHeight="1">
      <c r="A458" s="25"/>
      <c r="B458" s="27"/>
      <c r="C458" s="27">
        <v>1262</v>
      </c>
      <c r="D458" s="646"/>
      <c r="E458" s="646"/>
      <c r="F458" s="287"/>
      <c r="G458" s="828"/>
      <c r="H458" s="793"/>
      <c r="I458" s="793"/>
      <c r="J458" s="793"/>
      <c r="K458" s="793"/>
      <c r="L458" s="793"/>
      <c r="M458" s="793"/>
      <c r="N458" s="1425"/>
      <c r="O458" s="1425"/>
      <c r="P458" s="1426"/>
    </row>
    <row r="459" spans="1:16" ht="32.25" customHeight="1">
      <c r="A459" s="25"/>
      <c r="B459" s="27"/>
      <c r="C459" s="33" t="s">
        <v>49</v>
      </c>
      <c r="D459" s="660">
        <v>11372</v>
      </c>
      <c r="E459" s="661">
        <v>25000</v>
      </c>
      <c r="F459" s="286">
        <f>D459-E459</f>
        <v>-13628</v>
      </c>
      <c r="G459" s="773" t="s">
        <v>1013</v>
      </c>
      <c r="H459" s="759"/>
      <c r="I459" s="759"/>
      <c r="J459" s="759"/>
      <c r="K459" s="759"/>
      <c r="L459" s="759"/>
      <c r="M459" s="759"/>
      <c r="N459" s="1353">
        <v>11372000</v>
      </c>
      <c r="O459" s="1353"/>
      <c r="P459" s="1354"/>
    </row>
    <row r="460" spans="1:16" ht="32.25" customHeight="1">
      <c r="A460" s="25"/>
      <c r="B460" s="27"/>
      <c r="C460" s="27">
        <v>1263</v>
      </c>
      <c r="D460" s="646"/>
      <c r="E460" s="646"/>
      <c r="F460" s="287"/>
      <c r="G460" s="763"/>
      <c r="H460" s="764"/>
      <c r="I460" s="764"/>
      <c r="J460" s="764"/>
      <c r="K460" s="764"/>
      <c r="L460" s="764"/>
      <c r="M460" s="764"/>
      <c r="N460" s="764"/>
      <c r="O460" s="764"/>
      <c r="P460" s="783"/>
    </row>
    <row r="461" spans="1:16" ht="32.25" customHeight="1">
      <c r="A461" s="25"/>
      <c r="B461" s="27"/>
      <c r="C461" s="32" t="s">
        <v>50</v>
      </c>
      <c r="D461" s="653">
        <v>41031342</v>
      </c>
      <c r="E461" s="653">
        <v>5471000</v>
      </c>
      <c r="F461" s="287">
        <f>D461-E461</f>
        <v>35560342</v>
      </c>
      <c r="G461" s="763" t="s">
        <v>1205</v>
      </c>
      <c r="H461" s="764"/>
      <c r="I461" s="764"/>
      <c r="J461" s="764"/>
      <c r="K461" s="764"/>
      <c r="L461" s="764"/>
      <c r="M461" s="764"/>
      <c r="N461" s="764"/>
      <c r="O461" s="764"/>
      <c r="P461" s="783">
        <f>4550000000+770000000</f>
        <v>5320000000</v>
      </c>
    </row>
    <row r="462" spans="1:16" ht="32.25" customHeight="1">
      <c r="A462" s="25"/>
      <c r="B462" s="325"/>
      <c r="C462" s="32"/>
      <c r="D462" s="653"/>
      <c r="E462" s="653"/>
      <c r="F462" s="326"/>
      <c r="G462" s="776" t="s">
        <v>1201</v>
      </c>
      <c r="H462" s="766"/>
      <c r="I462" s="766"/>
      <c r="J462" s="766"/>
      <c r="K462" s="766"/>
      <c r="L462" s="766"/>
      <c r="M462" s="766"/>
      <c r="N462" s="766"/>
      <c r="O462" s="766"/>
      <c r="P462" s="824">
        <v>35711342000</v>
      </c>
    </row>
    <row r="463" spans="1:16" ht="32.25" customHeight="1">
      <c r="A463" s="25"/>
      <c r="B463" s="27"/>
      <c r="C463" s="33"/>
      <c r="D463" s="660"/>
      <c r="E463" s="660"/>
      <c r="F463" s="286"/>
      <c r="G463" s="778" t="s">
        <v>1036</v>
      </c>
      <c r="H463" s="1038"/>
      <c r="I463" s="1038"/>
      <c r="J463" s="1038"/>
      <c r="K463" s="1038"/>
      <c r="L463" s="1038"/>
      <c r="M463" s="1038"/>
      <c r="N463" s="1038"/>
      <c r="O463" s="1038"/>
      <c r="P463" s="948">
        <f>P461+P462</f>
        <v>41031342000</v>
      </c>
    </row>
    <row r="464" spans="1:16" ht="32.25" customHeight="1">
      <c r="A464" s="25"/>
      <c r="B464" s="27"/>
      <c r="C464" s="27">
        <v>1264</v>
      </c>
      <c r="D464" s="653"/>
      <c r="E464" s="653"/>
      <c r="F464" s="287"/>
      <c r="G464" s="773"/>
      <c r="H464" s="759"/>
      <c r="I464" s="766"/>
      <c r="J464" s="766"/>
      <c r="K464" s="766"/>
      <c r="L464" s="766"/>
      <c r="M464" s="766"/>
      <c r="N464" s="766"/>
      <c r="O464" s="766"/>
      <c r="P464" s="824"/>
    </row>
    <row r="465" spans="1:16" ht="32.25" customHeight="1">
      <c r="A465" s="25"/>
      <c r="B465" s="27"/>
      <c r="C465" s="490" t="s">
        <v>873</v>
      </c>
      <c r="D465" s="660">
        <v>85973</v>
      </c>
      <c r="E465" s="661">
        <v>65000</v>
      </c>
      <c r="F465" s="286">
        <f>D465-E465</f>
        <v>20973</v>
      </c>
      <c r="G465" s="957" t="s">
        <v>1201</v>
      </c>
      <c r="H465" s="779"/>
      <c r="I465" s="779"/>
      <c r="J465" s="779"/>
      <c r="K465" s="779"/>
      <c r="L465" s="779"/>
      <c r="M465" s="779"/>
      <c r="N465" s="779"/>
      <c r="O465" s="779"/>
      <c r="P465" s="823">
        <v>85973000</v>
      </c>
    </row>
    <row r="466" spans="1:16" ht="26.25" customHeight="1">
      <c r="A466" s="25"/>
      <c r="B466" s="27"/>
      <c r="C466" s="27">
        <v>1266</v>
      </c>
      <c r="D466" s="646"/>
      <c r="E466" s="646"/>
      <c r="F466" s="287"/>
      <c r="G466" s="781"/>
      <c r="H466" s="759"/>
      <c r="I466" s="759"/>
      <c r="J466" s="759"/>
      <c r="K466" s="759"/>
      <c r="L466" s="759"/>
      <c r="M466" s="759"/>
      <c r="N466" s="1353"/>
      <c r="O466" s="1353"/>
      <c r="P466" s="1354"/>
    </row>
    <row r="467" spans="1:16" ht="32.25" customHeight="1">
      <c r="A467" s="25"/>
      <c r="B467" s="325"/>
      <c r="C467" s="32" t="s">
        <v>51</v>
      </c>
      <c r="D467" s="653">
        <v>258218</v>
      </c>
      <c r="E467" s="653">
        <v>17199206</v>
      </c>
      <c r="F467" s="326">
        <f>D467-E467</f>
        <v>-16940988</v>
      </c>
      <c r="G467" s="776" t="s">
        <v>1201</v>
      </c>
      <c r="H467" s="766"/>
      <c r="I467" s="766"/>
      <c r="J467" s="766"/>
      <c r="K467" s="766"/>
      <c r="L467" s="766"/>
      <c r="M467" s="766"/>
      <c r="N467" s="766"/>
      <c r="O467" s="766"/>
      <c r="P467" s="824">
        <v>258218000</v>
      </c>
    </row>
    <row r="468" spans="1:16" ht="32.25" customHeight="1">
      <c r="A468" s="952"/>
      <c r="B468" s="1149"/>
      <c r="C468" s="951"/>
      <c r="D468" s="953"/>
      <c r="E468" s="953"/>
      <c r="F468" s="1150"/>
      <c r="G468" s="957" t="s">
        <v>1178</v>
      </c>
      <c r="H468" s="1147"/>
      <c r="I468" s="1147"/>
      <c r="J468" s="1147"/>
      <c r="K468" s="1147"/>
      <c r="L468" s="1147"/>
      <c r="M468" s="1147"/>
      <c r="N468" s="1147"/>
      <c r="O468" s="1147"/>
      <c r="P468" s="948">
        <f>N466+P467</f>
        <v>258218000</v>
      </c>
    </row>
    <row r="469" spans="1:16" ht="34.5" customHeight="1">
      <c r="A469" s="25">
        <v>1300</v>
      </c>
      <c r="B469" s="27"/>
      <c r="C469" s="27"/>
      <c r="D469" s="646"/>
      <c r="E469" s="646"/>
      <c r="F469" s="287"/>
      <c r="G469" s="781"/>
      <c r="H469" s="759"/>
      <c r="I469" s="759"/>
      <c r="J469" s="759"/>
      <c r="K469" s="759"/>
      <c r="L469" s="759"/>
      <c r="M469" s="759"/>
      <c r="N469" s="1353"/>
      <c r="O469" s="1353"/>
      <c r="P469" s="1354"/>
    </row>
    <row r="470" spans="1:16" ht="34.5" customHeight="1">
      <c r="A470" s="42" t="s">
        <v>297</v>
      </c>
      <c r="B470" s="24"/>
      <c r="C470" s="24"/>
      <c r="D470" s="645">
        <f>D472+D527</f>
        <v>19266721</v>
      </c>
      <c r="E470" s="645">
        <f>E472+E527</f>
        <v>15000000</v>
      </c>
      <c r="F470" s="286">
        <f>D470-E470</f>
        <v>4266721</v>
      </c>
      <c r="G470" s="777"/>
      <c r="H470" s="756"/>
      <c r="I470" s="756"/>
      <c r="J470" s="756"/>
      <c r="K470" s="756"/>
      <c r="L470" s="756"/>
      <c r="M470" s="756"/>
      <c r="N470" s="1375"/>
      <c r="O470" s="1375"/>
      <c r="P470" s="1376"/>
    </row>
    <row r="471" spans="1:16" ht="30" customHeight="1">
      <c r="A471" s="25"/>
      <c r="B471" s="27">
        <v>1310</v>
      </c>
      <c r="C471" s="27"/>
      <c r="D471" s="646"/>
      <c r="E471" s="646"/>
      <c r="F471" s="287"/>
      <c r="G471" s="781"/>
      <c r="H471" s="759"/>
      <c r="I471" s="759"/>
      <c r="J471" s="759"/>
      <c r="K471" s="759"/>
      <c r="L471" s="759"/>
      <c r="M471" s="759"/>
      <c r="N471" s="1353"/>
      <c r="O471" s="1353"/>
      <c r="P471" s="1354"/>
    </row>
    <row r="472" spans="1:16" ht="47.25" customHeight="1">
      <c r="A472" s="25"/>
      <c r="B472" s="33" t="s">
        <v>298</v>
      </c>
      <c r="C472" s="24"/>
      <c r="D472" s="645">
        <f>D474+D477+D481+D489+D504+D506+D517+D519+D479</f>
        <v>19266721</v>
      </c>
      <c r="E472" s="645">
        <f>E474+E477+E481+E489+E504+E506+E517+E519+E479</f>
        <v>15000000</v>
      </c>
      <c r="F472" s="286">
        <f>D472-E472</f>
        <v>4266721</v>
      </c>
      <c r="G472" s="777"/>
      <c r="H472" s="756"/>
      <c r="I472" s="756"/>
      <c r="J472" s="756"/>
      <c r="K472" s="756"/>
      <c r="L472" s="756"/>
      <c r="M472" s="756"/>
      <c r="N472" s="1375"/>
      <c r="O472" s="1375"/>
      <c r="P472" s="1376"/>
    </row>
    <row r="473" spans="1:16" ht="27.75" customHeight="1">
      <c r="A473" s="25"/>
      <c r="B473" s="27"/>
      <c r="C473" s="27">
        <v>1311</v>
      </c>
      <c r="D473" s="646"/>
      <c r="E473" s="646"/>
      <c r="F473" s="287"/>
      <c r="G473" s="773"/>
      <c r="H473" s="759"/>
      <c r="I473" s="759"/>
      <c r="J473" s="759"/>
      <c r="K473" s="1351"/>
      <c r="L473" s="1351"/>
      <c r="M473" s="759"/>
      <c r="N473" s="1353"/>
      <c r="O473" s="1353"/>
      <c r="P473" s="1354"/>
    </row>
    <row r="474" spans="1:16" ht="29.25" customHeight="1">
      <c r="A474" s="25"/>
      <c r="B474" s="27"/>
      <c r="C474" s="32" t="s">
        <v>299</v>
      </c>
      <c r="D474" s="646">
        <v>0</v>
      </c>
      <c r="E474" s="646">
        <v>0</v>
      </c>
      <c r="F474" s="287">
        <f>D474-E474</f>
        <v>0</v>
      </c>
      <c r="G474" s="781"/>
      <c r="H474" s="766"/>
      <c r="I474" s="766"/>
      <c r="J474" s="766"/>
      <c r="K474" s="766"/>
      <c r="L474" s="766"/>
      <c r="M474" s="766"/>
      <c r="N474" s="766"/>
      <c r="O474" s="766"/>
      <c r="P474" s="824"/>
    </row>
    <row r="475" spans="1:16" ht="30" customHeight="1">
      <c r="A475" s="25"/>
      <c r="B475" s="27"/>
      <c r="C475" s="33"/>
      <c r="D475" s="645"/>
      <c r="E475" s="645"/>
      <c r="F475" s="286"/>
      <c r="G475" s="792"/>
      <c r="H475" s="779"/>
      <c r="I475" s="779"/>
      <c r="J475" s="779"/>
      <c r="K475" s="779"/>
      <c r="L475" s="779"/>
      <c r="M475" s="779"/>
      <c r="N475" s="1375"/>
      <c r="O475" s="1375"/>
      <c r="P475" s="1376"/>
    </row>
    <row r="476" spans="1:16" ht="26.25" customHeight="1">
      <c r="A476" s="25"/>
      <c r="B476" s="27"/>
      <c r="C476" s="27">
        <v>1312</v>
      </c>
      <c r="D476" s="646" t="s">
        <v>3</v>
      </c>
      <c r="E476" s="646" t="s">
        <v>3</v>
      </c>
      <c r="F476" s="287"/>
      <c r="G476" s="774"/>
      <c r="H476" s="774"/>
      <c r="I476" s="774"/>
      <c r="J476" s="774"/>
      <c r="K476" s="774"/>
      <c r="L476" s="774"/>
      <c r="M476" s="774"/>
      <c r="N476" s="793"/>
      <c r="O476" s="793"/>
      <c r="P476" s="794"/>
    </row>
    <row r="477" spans="1:16" ht="30" customHeight="1">
      <c r="A477" s="25"/>
      <c r="B477" s="27"/>
      <c r="C477" s="32" t="s">
        <v>300</v>
      </c>
      <c r="D477" s="646">
        <v>0</v>
      </c>
      <c r="E477" s="646">
        <v>0</v>
      </c>
      <c r="F477" s="287">
        <f>D477-E477</f>
        <v>0</v>
      </c>
      <c r="G477" s="781" t="s">
        <v>3</v>
      </c>
      <c r="H477" s="759"/>
      <c r="I477" s="759"/>
      <c r="J477" s="759"/>
      <c r="K477" s="1351"/>
      <c r="L477" s="1351"/>
      <c r="M477" s="759"/>
      <c r="N477" s="1353"/>
      <c r="O477" s="1353"/>
      <c r="P477" s="1354"/>
    </row>
    <row r="478" spans="1:16" ht="27" customHeight="1">
      <c r="A478" s="25"/>
      <c r="B478" s="27"/>
      <c r="C478" s="28">
        <v>1313</v>
      </c>
      <c r="D478" s="647"/>
      <c r="E478" s="647"/>
      <c r="F478" s="288"/>
      <c r="G478" s="817"/>
      <c r="H478" s="783"/>
      <c r="I478" s="783"/>
      <c r="J478" s="783"/>
      <c r="K478" s="783"/>
      <c r="L478" s="783"/>
      <c r="M478" s="783"/>
      <c r="N478" s="784"/>
      <c r="O478" s="784"/>
      <c r="P478" s="785"/>
    </row>
    <row r="479" spans="1:16" ht="30" customHeight="1">
      <c r="A479" s="25"/>
      <c r="B479" s="27"/>
      <c r="C479" s="33" t="s">
        <v>301</v>
      </c>
      <c r="D479" s="645">
        <v>0</v>
      </c>
      <c r="E479" s="645">
        <v>0</v>
      </c>
      <c r="F479" s="286">
        <f>D479-E479</f>
        <v>0</v>
      </c>
      <c r="G479" s="792"/>
      <c r="H479" s="778"/>
      <c r="I479" s="779"/>
      <c r="J479" s="779"/>
      <c r="K479" s="779"/>
      <c r="L479" s="779"/>
      <c r="M479" s="779"/>
      <c r="N479" s="1378"/>
      <c r="O479" s="1378"/>
      <c r="P479" s="1379"/>
    </row>
    <row r="480" spans="1:16" ht="29.25" customHeight="1">
      <c r="A480" s="25"/>
      <c r="B480" s="27"/>
      <c r="C480" s="27">
        <v>1314</v>
      </c>
      <c r="D480" s="646"/>
      <c r="E480" s="646"/>
      <c r="F480" s="287"/>
      <c r="G480" s="817" t="s">
        <v>1374</v>
      </c>
      <c r="H480" s="759"/>
      <c r="I480" s="759"/>
      <c r="J480" s="759"/>
      <c r="K480" s="759"/>
      <c r="L480" s="759"/>
      <c r="M480" s="759"/>
      <c r="N480" s="761"/>
      <c r="O480" s="761"/>
      <c r="P480" s="762"/>
    </row>
    <row r="481" spans="1:16" ht="27.75" customHeight="1">
      <c r="A481" s="25"/>
      <c r="B481" s="27"/>
      <c r="C481" s="32" t="s">
        <v>302</v>
      </c>
      <c r="D481" s="646">
        <v>41600</v>
      </c>
      <c r="E481" s="646">
        <v>0</v>
      </c>
      <c r="F481" s="287">
        <f>D481-E481</f>
        <v>41600</v>
      </c>
      <c r="G481" s="792" t="s">
        <v>1376</v>
      </c>
      <c r="H481" s="759"/>
      <c r="I481" s="759"/>
      <c r="J481" s="759"/>
      <c r="K481" s="760"/>
      <c r="L481" s="760"/>
      <c r="M481" s="759"/>
      <c r="N481" s="1378">
        <v>41600000</v>
      </c>
      <c r="O481" s="1378"/>
      <c r="P481" s="1379"/>
    </row>
    <row r="482" spans="1:16" ht="27.75" customHeight="1" hidden="1">
      <c r="A482" s="25"/>
      <c r="B482" s="27"/>
      <c r="C482" s="27"/>
      <c r="D482" s="646"/>
      <c r="E482" s="646"/>
      <c r="F482" s="287"/>
      <c r="G482" s="766"/>
      <c r="H482" s="773"/>
      <c r="I482" s="760"/>
      <c r="J482" s="760"/>
      <c r="K482" s="759"/>
      <c r="L482" s="759"/>
      <c r="M482" s="759"/>
      <c r="N482" s="1353"/>
      <c r="O482" s="1353"/>
      <c r="P482" s="1354"/>
    </row>
    <row r="483" spans="1:16" ht="27.75" customHeight="1" hidden="1">
      <c r="A483" s="25"/>
      <c r="B483" s="27"/>
      <c r="C483" s="27"/>
      <c r="D483" s="646"/>
      <c r="E483" s="646"/>
      <c r="F483" s="287"/>
      <c r="G483" s="766"/>
      <c r="H483" s="773"/>
      <c r="I483" s="760"/>
      <c r="J483" s="760"/>
      <c r="K483" s="759"/>
      <c r="L483" s="759"/>
      <c r="M483" s="759"/>
      <c r="N483" s="761"/>
      <c r="O483" s="761"/>
      <c r="P483" s="762"/>
    </row>
    <row r="484" spans="1:16" ht="27.75" customHeight="1" hidden="1">
      <c r="A484" s="25"/>
      <c r="B484" s="27"/>
      <c r="C484" s="27"/>
      <c r="D484" s="646"/>
      <c r="E484" s="646"/>
      <c r="F484" s="287"/>
      <c r="G484" s="766"/>
      <c r="H484" s="773"/>
      <c r="I484" s="760"/>
      <c r="J484" s="760"/>
      <c r="K484" s="759"/>
      <c r="L484" s="759"/>
      <c r="M484" s="759"/>
      <c r="N484" s="1353"/>
      <c r="O484" s="1353"/>
      <c r="P484" s="1354"/>
    </row>
    <row r="485" spans="1:16" ht="27.75" customHeight="1" hidden="1">
      <c r="A485" s="25"/>
      <c r="B485" s="27"/>
      <c r="C485" s="27"/>
      <c r="D485" s="646"/>
      <c r="E485" s="646"/>
      <c r="F485" s="287"/>
      <c r="G485" s="766"/>
      <c r="H485" s="773"/>
      <c r="I485" s="760"/>
      <c r="J485" s="760"/>
      <c r="K485" s="759"/>
      <c r="L485" s="759"/>
      <c r="M485" s="759"/>
      <c r="N485" s="761"/>
      <c r="O485" s="761"/>
      <c r="P485" s="762"/>
    </row>
    <row r="486" spans="1:16" ht="27.75" customHeight="1" hidden="1">
      <c r="A486" s="25"/>
      <c r="B486" s="27"/>
      <c r="C486" s="27"/>
      <c r="D486" s="646"/>
      <c r="E486" s="646"/>
      <c r="F486" s="287"/>
      <c r="G486" s="766"/>
      <c r="I486" s="760"/>
      <c r="J486" s="760"/>
      <c r="K486" s="759"/>
      <c r="L486" s="759"/>
      <c r="M486" s="759"/>
      <c r="N486" s="1353"/>
      <c r="O486" s="1353"/>
      <c r="P486" s="1354"/>
    </row>
    <row r="487" spans="1:16" ht="27.75" customHeight="1" hidden="1">
      <c r="A487" s="29"/>
      <c r="B487" s="30"/>
      <c r="C487" s="27"/>
      <c r="D487" s="646"/>
      <c r="E487" s="646"/>
      <c r="F487" s="287"/>
      <c r="G487" s="1368"/>
      <c r="H487" s="1369"/>
      <c r="I487" s="760"/>
      <c r="J487" s="760"/>
      <c r="K487" s="759"/>
      <c r="L487" s="759"/>
      <c r="M487" s="759"/>
      <c r="N487" s="761"/>
      <c r="O487" s="761"/>
      <c r="P487" s="762"/>
    </row>
    <row r="488" spans="1:16" ht="22.5" customHeight="1">
      <c r="A488" s="25"/>
      <c r="B488" s="27"/>
      <c r="C488" s="28">
        <v>1315</v>
      </c>
      <c r="D488" s="647"/>
      <c r="E488" s="647"/>
      <c r="F488" s="288"/>
      <c r="G488" s="1061" t="s">
        <v>1194</v>
      </c>
      <c r="H488" s="769"/>
      <c r="I488" s="769"/>
      <c r="J488" s="769"/>
      <c r="K488" s="769"/>
      <c r="L488" s="769"/>
      <c r="M488" s="769"/>
      <c r="N488" s="769"/>
      <c r="O488" s="769"/>
      <c r="P488" s="825"/>
    </row>
    <row r="489" spans="1:16" ht="38.25" customHeight="1">
      <c r="A489" s="25"/>
      <c r="B489" s="27"/>
      <c r="C489" s="33" t="s">
        <v>303</v>
      </c>
      <c r="D489" s="645">
        <v>220</v>
      </c>
      <c r="E489" s="645">
        <v>0</v>
      </c>
      <c r="F489" s="286">
        <f>D489-E489</f>
        <v>220</v>
      </c>
      <c r="G489" s="756" t="s">
        <v>1373</v>
      </c>
      <c r="H489" s="756"/>
      <c r="I489" s="756"/>
      <c r="J489" s="756"/>
      <c r="K489" s="756"/>
      <c r="L489" s="756"/>
      <c r="M489" s="756"/>
      <c r="N489" s="757"/>
      <c r="O489" s="757"/>
      <c r="P489" s="758">
        <v>220000</v>
      </c>
    </row>
    <row r="490" spans="1:16" ht="30" customHeight="1" hidden="1">
      <c r="A490" s="25"/>
      <c r="B490" s="27"/>
      <c r="C490" s="32"/>
      <c r="D490" s="646"/>
      <c r="E490" s="646"/>
      <c r="F490" s="287"/>
      <c r="G490" s="773"/>
      <c r="H490" s="759"/>
      <c r="I490" s="759"/>
      <c r="J490" s="759"/>
      <c r="K490" s="759"/>
      <c r="L490" s="759"/>
      <c r="M490" s="759"/>
      <c r="N490" s="761"/>
      <c r="O490" s="761"/>
      <c r="P490" s="762"/>
    </row>
    <row r="491" spans="1:16" ht="30" customHeight="1" hidden="1">
      <c r="A491" s="25"/>
      <c r="B491" s="27"/>
      <c r="C491" s="27"/>
      <c r="D491" s="646"/>
      <c r="E491" s="646"/>
      <c r="F491" s="287"/>
      <c r="G491" s="773"/>
      <c r="H491" s="773"/>
      <c r="I491" s="773"/>
      <c r="J491" s="773"/>
      <c r="K491" s="773"/>
      <c r="L491" s="773"/>
      <c r="M491" s="773"/>
      <c r="N491" s="1351"/>
      <c r="O491" s="1351"/>
      <c r="P491" s="1352"/>
    </row>
    <row r="492" spans="1:16" ht="30" customHeight="1" hidden="1">
      <c r="A492" s="25"/>
      <c r="B492" s="27"/>
      <c r="C492" s="27"/>
      <c r="D492" s="646"/>
      <c r="E492" s="646"/>
      <c r="F492" s="287"/>
      <c r="G492" s="1368"/>
      <c r="H492" s="1369"/>
      <c r="I492" s="801"/>
      <c r="J492" s="801"/>
      <c r="K492" s="801"/>
      <c r="L492" s="801"/>
      <c r="M492" s="801"/>
      <c r="N492" s="1353"/>
      <c r="O492" s="1353"/>
      <c r="P492" s="1354"/>
    </row>
    <row r="493" spans="1:16" ht="30" customHeight="1" hidden="1">
      <c r="A493" s="25"/>
      <c r="B493" s="27"/>
      <c r="C493" s="27"/>
      <c r="D493" s="646"/>
      <c r="E493" s="646"/>
      <c r="F493" s="287"/>
      <c r="G493" s="781"/>
      <c r="H493" s="801"/>
      <c r="I493" s="801"/>
      <c r="J493" s="801"/>
      <c r="K493" s="801"/>
      <c r="L493" s="801"/>
      <c r="M493" s="801"/>
      <c r="N493" s="1351"/>
      <c r="O493" s="1351"/>
      <c r="P493" s="1352"/>
    </row>
    <row r="494" spans="1:16" ht="30" customHeight="1" hidden="1">
      <c r="A494" s="25"/>
      <c r="B494" s="27"/>
      <c r="C494" s="27"/>
      <c r="D494" s="646"/>
      <c r="E494" s="646"/>
      <c r="F494" s="287"/>
      <c r="G494" s="781"/>
      <c r="H494" s="801"/>
      <c r="I494" s="801"/>
      <c r="J494" s="801"/>
      <c r="K494" s="801"/>
      <c r="L494" s="801"/>
      <c r="M494" s="801"/>
      <c r="N494" s="760"/>
      <c r="O494" s="760"/>
      <c r="P494" s="788"/>
    </row>
    <row r="495" spans="1:16" ht="30" customHeight="1" hidden="1">
      <c r="A495" s="25"/>
      <c r="B495" s="27"/>
      <c r="C495" s="27"/>
      <c r="D495" s="646"/>
      <c r="E495" s="646"/>
      <c r="F495" s="287"/>
      <c r="G495" s="775"/>
      <c r="H495" s="766"/>
      <c r="I495" s="766"/>
      <c r="J495" s="766"/>
      <c r="K495" s="766"/>
      <c r="L495" s="766"/>
      <c r="M495" s="766"/>
      <c r="N495" s="1353"/>
      <c r="O495" s="1353"/>
      <c r="P495" s="1354"/>
    </row>
    <row r="496" spans="1:16" ht="30" customHeight="1" hidden="1">
      <c r="A496" s="25"/>
      <c r="B496" s="27"/>
      <c r="C496" s="27"/>
      <c r="D496" s="646"/>
      <c r="E496" s="646"/>
      <c r="F496" s="287"/>
      <c r="G496" s="775"/>
      <c r="H496" s="766"/>
      <c r="I496" s="766"/>
      <c r="J496" s="766"/>
      <c r="K496" s="766"/>
      <c r="L496" s="766"/>
      <c r="M496" s="766"/>
      <c r="N496" s="1353"/>
      <c r="O496" s="1353"/>
      <c r="P496" s="1354"/>
    </row>
    <row r="497" spans="1:16" ht="30" customHeight="1" hidden="1">
      <c r="A497" s="25"/>
      <c r="B497" s="27"/>
      <c r="C497" s="27"/>
      <c r="D497" s="646"/>
      <c r="E497" s="646"/>
      <c r="F497" s="287"/>
      <c r="G497" s="1368"/>
      <c r="H497" s="1369"/>
      <c r="I497" s="1369"/>
      <c r="J497" s="1369"/>
      <c r="K497" s="766"/>
      <c r="L497" s="766"/>
      <c r="M497" s="766"/>
      <c r="N497" s="1353"/>
      <c r="O497" s="1353"/>
      <c r="P497" s="1354"/>
    </row>
    <row r="498" spans="1:16" ht="30" customHeight="1" hidden="1">
      <c r="A498" s="25"/>
      <c r="B498" s="27"/>
      <c r="C498" s="27"/>
      <c r="D498" s="646"/>
      <c r="E498" s="646"/>
      <c r="F498" s="287"/>
      <c r="G498" s="775"/>
      <c r="H498" s="766"/>
      <c r="I498" s="766"/>
      <c r="J498" s="766"/>
      <c r="K498" s="766"/>
      <c r="L498" s="766"/>
      <c r="M498" s="766"/>
      <c r="N498" s="1353"/>
      <c r="O498" s="1353"/>
      <c r="P498" s="1354"/>
    </row>
    <row r="499" spans="1:16" ht="30" customHeight="1" hidden="1">
      <c r="A499" s="25"/>
      <c r="B499" s="27"/>
      <c r="C499" s="27"/>
      <c r="D499" s="646"/>
      <c r="E499" s="646"/>
      <c r="F499" s="287"/>
      <c r="G499" s="766"/>
      <c r="I499" s="760"/>
      <c r="J499" s="760"/>
      <c r="K499" s="759"/>
      <c r="L499" s="759"/>
      <c r="M499" s="759"/>
      <c r="N499" s="761"/>
      <c r="O499" s="761"/>
      <c r="P499" s="762"/>
    </row>
    <row r="500" spans="1:16" ht="30" customHeight="1" hidden="1">
      <c r="A500" s="25"/>
      <c r="B500" s="27"/>
      <c r="C500" s="27"/>
      <c r="D500" s="646"/>
      <c r="E500" s="646"/>
      <c r="F500" s="287"/>
      <c r="G500" s="766"/>
      <c r="H500" s="773"/>
      <c r="I500" s="760"/>
      <c r="J500" s="760"/>
      <c r="K500" s="759"/>
      <c r="L500" s="759"/>
      <c r="M500" s="759"/>
      <c r="N500" s="761"/>
      <c r="O500" s="761"/>
      <c r="P500" s="762"/>
    </row>
    <row r="501" spans="1:16" ht="30" customHeight="1" hidden="1">
      <c r="A501" s="25"/>
      <c r="B501" s="27"/>
      <c r="C501" s="27"/>
      <c r="D501" s="646"/>
      <c r="E501" s="646"/>
      <c r="F501" s="287"/>
      <c r="G501" s="1368"/>
      <c r="H501" s="1369"/>
      <c r="I501" s="766"/>
      <c r="J501" s="766"/>
      <c r="K501" s="766"/>
      <c r="L501" s="766"/>
      <c r="M501" s="766"/>
      <c r="N501" s="761"/>
      <c r="O501" s="761"/>
      <c r="P501" s="762"/>
    </row>
    <row r="502" spans="1:16" ht="30" customHeight="1" hidden="1">
      <c r="A502" s="25"/>
      <c r="B502" s="27"/>
      <c r="C502" s="24"/>
      <c r="D502" s="645"/>
      <c r="E502" s="645"/>
      <c r="F502" s="286"/>
      <c r="G502" s="1386"/>
      <c r="H502" s="1387"/>
      <c r="I502" s="778"/>
      <c r="J502" s="778"/>
      <c r="K502" s="778"/>
      <c r="L502" s="756"/>
      <c r="M502" s="768"/>
      <c r="N502" s="1375"/>
      <c r="O502" s="1375"/>
      <c r="P502" s="1376"/>
    </row>
    <row r="503" spans="1:16" ht="31.5" customHeight="1">
      <c r="A503" s="25"/>
      <c r="B503" s="27"/>
      <c r="C503" s="27">
        <v>1316</v>
      </c>
      <c r="D503" s="646"/>
      <c r="E503" s="646"/>
      <c r="F503" s="287"/>
      <c r="G503" s="759"/>
      <c r="H503" s="773"/>
      <c r="I503" s="773"/>
      <c r="J503" s="773"/>
      <c r="K503" s="773"/>
      <c r="L503" s="759"/>
      <c r="M503" s="760"/>
      <c r="N503" s="761"/>
      <c r="O503" s="761"/>
      <c r="P503" s="762"/>
    </row>
    <row r="504" spans="1:16" ht="39" customHeight="1">
      <c r="A504" s="25"/>
      <c r="B504" s="27"/>
      <c r="C504" s="32" t="s">
        <v>98</v>
      </c>
      <c r="D504" s="653">
        <v>0</v>
      </c>
      <c r="E504" s="653">
        <v>0</v>
      </c>
      <c r="F504" s="287">
        <f>D504-E504</f>
        <v>0</v>
      </c>
      <c r="G504" s="1368"/>
      <c r="H504" s="1369"/>
      <c r="I504" s="1369"/>
      <c r="J504" s="1369"/>
      <c r="K504" s="773"/>
      <c r="L504" s="759"/>
      <c r="M504" s="760"/>
      <c r="N504" s="1353"/>
      <c r="O504" s="1353"/>
      <c r="P504" s="1354"/>
    </row>
    <row r="505" spans="1:16" ht="31.5" customHeight="1">
      <c r="A505" s="25"/>
      <c r="B505" s="27"/>
      <c r="C505" s="28">
        <v>1317</v>
      </c>
      <c r="D505" s="647"/>
      <c r="E505" s="647"/>
      <c r="F505" s="288"/>
      <c r="G505" s="769"/>
      <c r="H505" s="769"/>
      <c r="I505" s="769"/>
      <c r="J505" s="769"/>
      <c r="K505" s="769"/>
      <c r="L505" s="769"/>
      <c r="M505" s="769"/>
      <c r="N505" s="769"/>
      <c r="O505" s="769"/>
      <c r="P505" s="825"/>
    </row>
    <row r="506" spans="1:16" ht="31.5" customHeight="1">
      <c r="A506" s="25"/>
      <c r="B506" s="27"/>
      <c r="C506" s="24" t="s">
        <v>304</v>
      </c>
      <c r="D506" s="645">
        <v>0</v>
      </c>
      <c r="E506" s="645">
        <v>0</v>
      </c>
      <c r="F506" s="286">
        <f>D506-E506</f>
        <v>0</v>
      </c>
      <c r="G506" s="756"/>
      <c r="H506" s="756"/>
      <c r="I506" s="756"/>
      <c r="J506" s="756"/>
      <c r="K506" s="756"/>
      <c r="L506" s="756"/>
      <c r="M506" s="756"/>
      <c r="N506" s="1378"/>
      <c r="O506" s="1378"/>
      <c r="P506" s="1379"/>
    </row>
    <row r="507" spans="1:16" ht="31.5" customHeight="1" hidden="1">
      <c r="A507" s="25"/>
      <c r="B507" s="27"/>
      <c r="C507" s="27"/>
      <c r="D507" s="646"/>
      <c r="E507" s="646"/>
      <c r="F507" s="287"/>
      <c r="G507" s="773"/>
      <c r="H507" s="773"/>
      <c r="I507" s="773"/>
      <c r="J507" s="773"/>
      <c r="K507" s="773"/>
      <c r="L507" s="773"/>
      <c r="M507" s="773"/>
      <c r="N507" s="1351"/>
      <c r="O507" s="1351"/>
      <c r="P507" s="1352"/>
    </row>
    <row r="508" spans="1:16" ht="31.5" customHeight="1" hidden="1">
      <c r="A508" s="25"/>
      <c r="B508" s="27"/>
      <c r="C508" s="27"/>
      <c r="D508" s="646"/>
      <c r="E508" s="646"/>
      <c r="F508" s="287"/>
      <c r="G508" s="781"/>
      <c r="H508" s="796"/>
      <c r="I508" s="759"/>
      <c r="J508" s="759"/>
      <c r="K508" s="759"/>
      <c r="L508" s="759"/>
      <c r="M508" s="759"/>
      <c r="N508" s="1353"/>
      <c r="O508" s="1353"/>
      <c r="P508" s="1354"/>
    </row>
    <row r="509" spans="1:16" ht="31.5" customHeight="1" hidden="1">
      <c r="A509" s="25"/>
      <c r="B509" s="27"/>
      <c r="C509" s="27"/>
      <c r="D509" s="646"/>
      <c r="E509" s="646"/>
      <c r="F509" s="287"/>
      <c r="G509" s="1368"/>
      <c r="H509" s="1369"/>
      <c r="I509" s="759"/>
      <c r="J509" s="759"/>
      <c r="K509" s="759"/>
      <c r="L509" s="759"/>
      <c r="M509" s="759"/>
      <c r="N509" s="1353"/>
      <c r="O509" s="1353"/>
      <c r="P509" s="1354"/>
    </row>
    <row r="510" spans="1:16" ht="31.5" customHeight="1" hidden="1">
      <c r="A510" s="25"/>
      <c r="B510" s="27"/>
      <c r="C510" s="27"/>
      <c r="D510" s="646"/>
      <c r="E510" s="646"/>
      <c r="F510" s="287"/>
      <c r="G510" s="781"/>
      <c r="H510" s="796"/>
      <c r="I510" s="759"/>
      <c r="J510" s="759"/>
      <c r="K510" s="759"/>
      <c r="L510" s="759"/>
      <c r="M510" s="759"/>
      <c r="N510" s="761"/>
      <c r="O510" s="761"/>
      <c r="P510" s="762"/>
    </row>
    <row r="511" spans="1:16" ht="31.5" customHeight="1" hidden="1">
      <c r="A511" s="25"/>
      <c r="B511" s="27"/>
      <c r="C511" s="27"/>
      <c r="D511" s="646"/>
      <c r="E511" s="646"/>
      <c r="F511" s="287"/>
      <c r="G511" s="796"/>
      <c r="H511" s="773"/>
      <c r="I511" s="759"/>
      <c r="J511" s="759"/>
      <c r="K511" s="759"/>
      <c r="L511" s="759"/>
      <c r="M511" s="759"/>
      <c r="N511" s="1353"/>
      <c r="O511" s="1353"/>
      <c r="P511" s="1354"/>
    </row>
    <row r="512" spans="1:16" ht="31.5" customHeight="1" hidden="1">
      <c r="A512" s="25"/>
      <c r="B512" s="27"/>
      <c r="C512" s="27"/>
      <c r="D512" s="646"/>
      <c r="E512" s="646"/>
      <c r="F512" s="287"/>
      <c r="G512" s="796"/>
      <c r="H512" s="773"/>
      <c r="I512" s="759"/>
      <c r="J512" s="759"/>
      <c r="K512" s="759"/>
      <c r="L512" s="759"/>
      <c r="M512" s="759"/>
      <c r="N512" s="761"/>
      <c r="O512" s="761"/>
      <c r="P512" s="762"/>
    </row>
    <row r="513" spans="1:16" ht="31.5" customHeight="1" hidden="1">
      <c r="A513" s="25"/>
      <c r="B513" s="27"/>
      <c r="C513" s="27"/>
      <c r="D513" s="646"/>
      <c r="E513" s="646"/>
      <c r="F513" s="287"/>
      <c r="G513" s="796"/>
      <c r="H513" s="773"/>
      <c r="I513" s="759"/>
      <c r="J513" s="759"/>
      <c r="K513" s="759"/>
      <c r="L513" s="759"/>
      <c r="M513" s="759"/>
      <c r="N513" s="1353"/>
      <c r="O513" s="1353"/>
      <c r="P513" s="1354"/>
    </row>
    <row r="514" spans="1:16" ht="31.5" customHeight="1" hidden="1">
      <c r="A514" s="25"/>
      <c r="B514" s="27"/>
      <c r="C514" s="27"/>
      <c r="D514" s="646"/>
      <c r="E514" s="646"/>
      <c r="F514" s="287"/>
      <c r="G514" s="1368"/>
      <c r="H514" s="1369"/>
      <c r="I514" s="759"/>
      <c r="J514" s="759"/>
      <c r="K514" s="759"/>
      <c r="L514" s="759"/>
      <c r="M514" s="759"/>
      <c r="N514" s="761"/>
      <c r="O514" s="761"/>
      <c r="P514" s="762"/>
    </row>
    <row r="515" spans="1:16" ht="31.5" customHeight="1" hidden="1">
      <c r="A515" s="25"/>
      <c r="B515" s="27"/>
      <c r="C515" s="27"/>
      <c r="D515" s="646"/>
      <c r="E515" s="646"/>
      <c r="F515" s="287"/>
      <c r="G515" s="1386"/>
      <c r="H515" s="1387"/>
      <c r="I515" s="759"/>
      <c r="J515" s="759"/>
      <c r="K515" s="756"/>
      <c r="L515" s="756"/>
      <c r="M515" s="756"/>
      <c r="N515" s="1375"/>
      <c r="O515" s="1375"/>
      <c r="P515" s="1376"/>
    </row>
    <row r="516" spans="1:16" ht="31.5" customHeight="1">
      <c r="A516" s="25"/>
      <c r="B516" s="27"/>
      <c r="C516" s="28">
        <v>1318</v>
      </c>
      <c r="D516" s="647"/>
      <c r="E516" s="647"/>
      <c r="F516" s="288"/>
      <c r="G516" s="815"/>
      <c r="H516" s="769"/>
      <c r="I516" s="769"/>
      <c r="J516" s="769"/>
      <c r="K516" s="774"/>
      <c r="L516" s="774"/>
      <c r="M516" s="774"/>
      <c r="N516" s="774"/>
      <c r="O516" s="774"/>
      <c r="P516" s="807"/>
    </row>
    <row r="517" spans="1:16" ht="36" customHeight="1">
      <c r="A517" s="25"/>
      <c r="B517" s="27"/>
      <c r="C517" s="33" t="s">
        <v>306</v>
      </c>
      <c r="D517" s="660">
        <v>0</v>
      </c>
      <c r="E517" s="660">
        <v>0</v>
      </c>
      <c r="F517" s="286">
        <f>D517-E517</f>
        <v>0</v>
      </c>
      <c r="G517" s="777" t="s">
        <v>3</v>
      </c>
      <c r="H517" s="800"/>
      <c r="I517" s="756"/>
      <c r="J517" s="756"/>
      <c r="K517" s="756"/>
      <c r="L517" s="756"/>
      <c r="M517" s="756"/>
      <c r="N517" s="757"/>
      <c r="O517" s="757"/>
      <c r="P517" s="758"/>
    </row>
    <row r="518" spans="1:16" ht="31.5" customHeight="1">
      <c r="A518" s="25"/>
      <c r="B518" s="27"/>
      <c r="C518" s="27">
        <v>1319</v>
      </c>
      <c r="D518" s="646"/>
      <c r="E518" s="646"/>
      <c r="F518" s="287"/>
      <c r="G518" s="819"/>
      <c r="H518" s="774"/>
      <c r="I518" s="774"/>
      <c r="J518" s="774"/>
      <c r="K518" s="774"/>
      <c r="L518" s="774"/>
      <c r="M518" s="774"/>
      <c r="N518" s="774"/>
      <c r="O518" s="774"/>
      <c r="P518" s="807"/>
    </row>
    <row r="519" spans="1:16" ht="31.5" customHeight="1">
      <c r="A519" s="25"/>
      <c r="B519" s="27"/>
      <c r="C519" s="27" t="s">
        <v>307</v>
      </c>
      <c r="D519" s="646">
        <v>19224901</v>
      </c>
      <c r="E519" s="655">
        <v>15000000</v>
      </c>
      <c r="F519" s="287">
        <f>D519-E519</f>
        <v>4224901</v>
      </c>
      <c r="G519" s="759" t="s">
        <v>1007</v>
      </c>
      <c r="H519" s="759"/>
      <c r="I519" s="759"/>
      <c r="J519" s="759"/>
      <c r="K519" s="759"/>
      <c r="L519" s="759"/>
      <c r="M519" s="759"/>
      <c r="N519" s="761"/>
      <c r="O519" s="761"/>
      <c r="P519" s="762"/>
    </row>
    <row r="520" spans="1:16" ht="30" customHeight="1">
      <c r="A520" s="25"/>
      <c r="B520" s="27"/>
      <c r="C520" s="27"/>
      <c r="D520" s="646"/>
      <c r="E520" s="646"/>
      <c r="F520" s="287"/>
      <c r="G520" s="766" t="s">
        <v>1375</v>
      </c>
      <c r="H520" s="773"/>
      <c r="I520" s="766"/>
      <c r="J520" s="766"/>
      <c r="K520" s="766"/>
      <c r="L520" s="766"/>
      <c r="M520" s="766"/>
      <c r="N520" s="1351">
        <v>19224901000</v>
      </c>
      <c r="O520" s="1351"/>
      <c r="P520" s="1352"/>
    </row>
    <row r="521" spans="1:16" ht="30" customHeight="1" hidden="1">
      <c r="A521" s="25"/>
      <c r="B521" s="27"/>
      <c r="C521" s="27"/>
      <c r="D521" s="646"/>
      <c r="E521" s="646"/>
      <c r="F521" s="287"/>
      <c r="G521" s="766"/>
      <c r="H521" s="773"/>
      <c r="I521" s="766"/>
      <c r="J521" s="766"/>
      <c r="K521" s="766"/>
      <c r="L521" s="766"/>
      <c r="M521" s="766"/>
      <c r="N521" s="1353"/>
      <c r="O521" s="1353"/>
      <c r="P521" s="1354"/>
    </row>
    <row r="522" spans="1:16" ht="30" customHeight="1" hidden="1">
      <c r="A522" s="25"/>
      <c r="B522" s="27"/>
      <c r="C522" s="27"/>
      <c r="D522" s="646"/>
      <c r="E522" s="646"/>
      <c r="F522" s="287"/>
      <c r="G522" s="766"/>
      <c r="H522" s="773"/>
      <c r="I522" s="766"/>
      <c r="J522" s="766"/>
      <c r="K522" s="766"/>
      <c r="L522" s="766"/>
      <c r="M522" s="766"/>
      <c r="N522" s="761"/>
      <c r="O522" s="761"/>
      <c r="P522" s="762"/>
    </row>
    <row r="523" spans="1:16" ht="30" customHeight="1" hidden="1">
      <c r="A523" s="25"/>
      <c r="B523" s="27"/>
      <c r="C523" s="27"/>
      <c r="D523" s="646"/>
      <c r="E523" s="646"/>
      <c r="F523" s="287"/>
      <c r="G523" s="766"/>
      <c r="H523" s="773"/>
      <c r="I523" s="766"/>
      <c r="J523" s="766"/>
      <c r="K523" s="766"/>
      <c r="L523" s="766"/>
      <c r="M523" s="766"/>
      <c r="N523" s="761"/>
      <c r="O523" s="761"/>
      <c r="P523" s="762"/>
    </row>
    <row r="524" spans="1:16" ht="30" customHeight="1" hidden="1">
      <c r="A524" s="25"/>
      <c r="B524" s="27"/>
      <c r="C524" s="27"/>
      <c r="D524" s="646"/>
      <c r="E524" s="646"/>
      <c r="F524" s="287"/>
      <c r="G524" s="766"/>
      <c r="H524" s="773"/>
      <c r="I524" s="766"/>
      <c r="J524" s="766"/>
      <c r="K524" s="766"/>
      <c r="L524" s="766"/>
      <c r="M524" s="766"/>
      <c r="N524" s="761"/>
      <c r="O524" s="761"/>
      <c r="P524" s="762"/>
    </row>
    <row r="525" spans="1:16" ht="30" customHeight="1">
      <c r="A525" s="25"/>
      <c r="B525" s="27"/>
      <c r="C525" s="27"/>
      <c r="D525" s="646"/>
      <c r="E525" s="646"/>
      <c r="F525" s="287"/>
      <c r="G525" s="1368" t="s">
        <v>4</v>
      </c>
      <c r="H525" s="1369"/>
      <c r="I525" s="766"/>
      <c r="J525" s="766"/>
      <c r="K525" s="766"/>
      <c r="L525" s="766"/>
      <c r="M525" s="766"/>
      <c r="N525" s="761"/>
      <c r="O525" s="761"/>
      <c r="P525" s="762">
        <f>SUM(N520:P524)</f>
        <v>19224901000</v>
      </c>
    </row>
    <row r="526" spans="1:16" ht="22.5" customHeight="1">
      <c r="A526" s="25"/>
      <c r="B526" s="28">
        <v>1320</v>
      </c>
      <c r="C526" s="28"/>
      <c r="D526" s="647"/>
      <c r="E526" s="647"/>
      <c r="F526" s="288"/>
      <c r="G526" s="783"/>
      <c r="H526" s="816"/>
      <c r="I526" s="783"/>
      <c r="J526" s="783"/>
      <c r="K526" s="783"/>
      <c r="L526" s="783"/>
      <c r="M526" s="765"/>
      <c r="N526" s="784"/>
      <c r="O526" s="784"/>
      <c r="P526" s="785"/>
    </row>
    <row r="527" spans="1:16" ht="30" customHeight="1">
      <c r="A527" s="25"/>
      <c r="B527" s="32" t="s">
        <v>308</v>
      </c>
      <c r="C527" s="24"/>
      <c r="D527" s="645">
        <f>D529</f>
        <v>0</v>
      </c>
      <c r="E527" s="645">
        <f>E529</f>
        <v>0</v>
      </c>
      <c r="F527" s="286">
        <f>D527-E527</f>
        <v>0</v>
      </c>
      <c r="G527" s="756"/>
      <c r="H527" s="800"/>
      <c r="I527" s="756"/>
      <c r="J527" s="756"/>
      <c r="K527" s="756"/>
      <c r="L527" s="756"/>
      <c r="M527" s="768"/>
      <c r="N527" s="757"/>
      <c r="O527" s="757"/>
      <c r="P527" s="758"/>
    </row>
    <row r="528" spans="1:16" ht="32.25" customHeight="1">
      <c r="A528" s="25"/>
      <c r="B528" s="27"/>
      <c r="C528" s="32">
        <v>1321</v>
      </c>
      <c r="D528" s="646"/>
      <c r="E528" s="646"/>
      <c r="F528" s="287"/>
      <c r="G528" s="759"/>
      <c r="H528" s="796"/>
      <c r="I528" s="759"/>
      <c r="J528" s="759"/>
      <c r="K528" s="759"/>
      <c r="L528" s="759"/>
      <c r="M528" s="760"/>
      <c r="N528" s="761"/>
      <c r="O528" s="761"/>
      <c r="P528" s="762"/>
    </row>
    <row r="529" spans="1:16" ht="32.25" customHeight="1">
      <c r="A529" s="952"/>
      <c r="B529" s="949"/>
      <c r="C529" s="951" t="s">
        <v>309</v>
      </c>
      <c r="D529" s="953">
        <v>0</v>
      </c>
      <c r="E529" s="953">
        <v>0</v>
      </c>
      <c r="F529" s="950">
        <f>D529-E529</f>
        <v>0</v>
      </c>
      <c r="G529" s="791" t="s">
        <v>3</v>
      </c>
      <c r="H529" s="818" t="s">
        <v>3</v>
      </c>
      <c r="I529" s="791"/>
      <c r="J529" s="791"/>
      <c r="K529" s="791"/>
      <c r="L529" s="791"/>
      <c r="M529" s="1037"/>
      <c r="N529" s="1375" t="s">
        <v>3</v>
      </c>
      <c r="O529" s="1375"/>
      <c r="P529" s="1376"/>
    </row>
    <row r="530" spans="1:16" ht="24" customHeight="1">
      <c r="A530" s="25">
        <v>2200</v>
      </c>
      <c r="B530" s="27"/>
      <c r="C530" s="27"/>
      <c r="D530" s="646"/>
      <c r="E530" s="646"/>
      <c r="F530" s="287"/>
      <c r="G530" s="759"/>
      <c r="H530" s="796"/>
      <c r="I530" s="759"/>
      <c r="J530" s="759"/>
      <c r="K530" s="759"/>
      <c r="L530" s="759"/>
      <c r="M530" s="760"/>
      <c r="N530" s="761"/>
      <c r="O530" s="761"/>
      <c r="P530" s="762"/>
    </row>
    <row r="531" spans="1:16" ht="32.25" customHeight="1">
      <c r="A531" s="42" t="s">
        <v>310</v>
      </c>
      <c r="B531" s="27"/>
      <c r="C531" s="27"/>
      <c r="D531" s="653">
        <f>SUM(D537,D533)</f>
        <v>105415</v>
      </c>
      <c r="E531" s="653">
        <f>SUM(E537,E533)</f>
        <v>92000</v>
      </c>
      <c r="F531" s="286">
        <f>D531-E531</f>
        <v>13415</v>
      </c>
      <c r="G531" s="759"/>
      <c r="H531" s="796"/>
      <c r="I531" s="759"/>
      <c r="J531" s="759"/>
      <c r="K531" s="759"/>
      <c r="L531" s="759"/>
      <c r="M531" s="760"/>
      <c r="N531" s="761"/>
      <c r="O531" s="761"/>
      <c r="P531" s="762"/>
    </row>
    <row r="532" spans="1:16" ht="32.25" customHeight="1">
      <c r="A532" s="25"/>
      <c r="B532" s="28">
        <v>2210</v>
      </c>
      <c r="C532" s="28"/>
      <c r="D532" s="647"/>
      <c r="E532" s="647"/>
      <c r="F532" s="288"/>
      <c r="G532" s="783"/>
      <c r="H532" s="816"/>
      <c r="I532" s="783"/>
      <c r="J532" s="783"/>
      <c r="K532" s="783"/>
      <c r="L532" s="783"/>
      <c r="M532" s="765"/>
      <c r="N532" s="784"/>
      <c r="O532" s="784"/>
      <c r="P532" s="785"/>
    </row>
    <row r="533" spans="1:16" ht="32.25" customHeight="1">
      <c r="A533" s="25"/>
      <c r="B533" s="27" t="s">
        <v>311</v>
      </c>
      <c r="C533" s="24"/>
      <c r="D533" s="660">
        <f>D535</f>
        <v>0</v>
      </c>
      <c r="E533" s="660">
        <f>E535</f>
        <v>0</v>
      </c>
      <c r="F533" s="286">
        <f>D533-E533</f>
        <v>0</v>
      </c>
      <c r="G533" s="756"/>
      <c r="H533" s="800"/>
      <c r="I533" s="756"/>
      <c r="J533" s="756"/>
      <c r="K533" s="756"/>
      <c r="L533" s="756"/>
      <c r="M533" s="768"/>
      <c r="N533" s="757"/>
      <c r="O533" s="757"/>
      <c r="P533" s="758"/>
    </row>
    <row r="534" spans="1:16" ht="32.25" customHeight="1">
      <c r="A534" s="25"/>
      <c r="B534" s="27"/>
      <c r="C534" s="28">
        <v>2211</v>
      </c>
      <c r="D534" s="647"/>
      <c r="E534" s="647"/>
      <c r="F534" s="288"/>
      <c r="G534" s="815"/>
      <c r="H534" s="769"/>
      <c r="I534" s="769"/>
      <c r="J534" s="769"/>
      <c r="K534" s="769"/>
      <c r="L534" s="769"/>
      <c r="M534" s="769"/>
      <c r="N534" s="769"/>
      <c r="O534" s="769"/>
      <c r="P534" s="825"/>
    </row>
    <row r="535" spans="1:16" ht="32.25" customHeight="1">
      <c r="A535" s="25"/>
      <c r="B535" s="36"/>
      <c r="C535" s="27" t="s">
        <v>311</v>
      </c>
      <c r="D535" s="653">
        <v>0</v>
      </c>
      <c r="E535" s="653">
        <v>0</v>
      </c>
      <c r="F535" s="286">
        <f>D535-E535</f>
        <v>0</v>
      </c>
      <c r="G535" s="759" t="s">
        <v>3</v>
      </c>
      <c r="H535" s="796"/>
      <c r="I535" s="759"/>
      <c r="J535" s="759"/>
      <c r="K535" s="759"/>
      <c r="L535" s="759"/>
      <c r="M535" s="760"/>
      <c r="N535" s="761"/>
      <c r="O535" s="761"/>
      <c r="P535" s="762"/>
    </row>
    <row r="536" spans="1:16" ht="32.25" customHeight="1">
      <c r="A536" s="25"/>
      <c r="B536" s="28">
        <v>2220</v>
      </c>
      <c r="C536" s="28"/>
      <c r="D536" s="662"/>
      <c r="E536" s="662"/>
      <c r="F536" s="288"/>
      <c r="G536" s="783"/>
      <c r="H536" s="816"/>
      <c r="I536" s="783"/>
      <c r="J536" s="783"/>
      <c r="K536" s="783"/>
      <c r="L536" s="783"/>
      <c r="M536" s="765"/>
      <c r="N536" s="784"/>
      <c r="O536" s="784"/>
      <c r="P536" s="785"/>
    </row>
    <row r="537" spans="1:16" ht="32.25" customHeight="1">
      <c r="A537" s="25"/>
      <c r="B537" s="32" t="s">
        <v>312</v>
      </c>
      <c r="C537" s="27"/>
      <c r="D537" s="653">
        <f>SUM(D539)</f>
        <v>105415</v>
      </c>
      <c r="E537" s="653">
        <f>SUM(E539)</f>
        <v>92000</v>
      </c>
      <c r="F537" s="287">
        <f>D537-E537</f>
        <v>13415</v>
      </c>
      <c r="G537" s="759"/>
      <c r="H537" s="796"/>
      <c r="I537" s="759"/>
      <c r="J537" s="759"/>
      <c r="K537" s="759"/>
      <c r="L537" s="759"/>
      <c r="M537" s="760"/>
      <c r="N537" s="761"/>
      <c r="O537" s="761"/>
      <c r="P537" s="762"/>
    </row>
    <row r="538" spans="1:16" ht="32.25" customHeight="1">
      <c r="A538" s="25"/>
      <c r="B538" s="27"/>
      <c r="C538" s="28">
        <v>2221</v>
      </c>
      <c r="D538" s="662"/>
      <c r="E538" s="662"/>
      <c r="F538" s="288"/>
      <c r="G538" s="783" t="s">
        <v>3</v>
      </c>
      <c r="H538" s="816"/>
      <c r="I538" s="783"/>
      <c r="J538" s="783"/>
      <c r="K538" s="783"/>
      <c r="L538" s="783"/>
      <c r="M538" s="765"/>
      <c r="N538" s="784"/>
      <c r="O538" s="784"/>
      <c r="P538" s="785"/>
    </row>
    <row r="539" spans="1:16" ht="32.25" customHeight="1">
      <c r="A539" s="25"/>
      <c r="B539" s="27"/>
      <c r="C539" s="27" t="s">
        <v>313</v>
      </c>
      <c r="D539" s="653">
        <v>105415</v>
      </c>
      <c r="E539" s="653">
        <v>92000</v>
      </c>
      <c r="F539" s="287">
        <f>D539-E539</f>
        <v>13415</v>
      </c>
      <c r="G539" s="759" t="s">
        <v>6</v>
      </c>
      <c r="H539" s="774"/>
      <c r="I539" s="774"/>
      <c r="J539" s="774"/>
      <c r="K539" s="774"/>
      <c r="L539" s="774"/>
      <c r="M539" s="774"/>
      <c r="N539" s="774"/>
      <c r="O539" s="774"/>
      <c r="P539" s="807"/>
    </row>
    <row r="540" spans="1:16" s="108" customFormat="1" ht="32.25" customHeight="1">
      <c r="A540" s="952"/>
      <c r="B540" s="949"/>
      <c r="C540" s="949"/>
      <c r="D540" s="953"/>
      <c r="E540" s="953"/>
      <c r="F540" s="950"/>
      <c r="G540" s="791" t="s">
        <v>314</v>
      </c>
      <c r="H540" s="1072"/>
      <c r="I540" s="1072"/>
      <c r="J540" s="1072"/>
      <c r="K540" s="1072"/>
      <c r="L540" s="1072"/>
      <c r="M540" s="1072"/>
      <c r="N540" s="1378">
        <v>105415000</v>
      </c>
      <c r="O540" s="1378"/>
      <c r="P540" s="1379"/>
    </row>
    <row r="541" spans="1:16" ht="51.75" customHeight="1">
      <c r="A541" s="1122" t="s">
        <v>52</v>
      </c>
      <c r="B541" s="1123" t="s">
        <v>53</v>
      </c>
      <c r="C541" s="1124"/>
      <c r="D541" s="1125">
        <f>'(수입-비등록금회계)'!D8-'(지출-비등록금회계)'!D9-'(지출-비등록금회계)'!D74-'(지출-비등록금회계)'!D294-'(지출-비등록금회계)'!D413-'(지출-비등록금회계)'!D431-'(지출-비등록금회계)'!D439-'(지출-비등록금회계)'!D445-'(지출-비등록금회계)'!D470-'(지출-비등록금회계)'!D531</f>
        <v>17409878</v>
      </c>
      <c r="E541" s="1125">
        <v>14855097</v>
      </c>
      <c r="F541" s="1126">
        <f>D541-E541</f>
        <v>2554781</v>
      </c>
      <c r="G541" s="1127"/>
      <c r="H541" s="1128"/>
      <c r="I541" s="1128"/>
      <c r="J541" s="1128"/>
      <c r="K541" s="1128"/>
      <c r="L541" s="1128"/>
      <c r="M541" s="1128"/>
      <c r="N541" s="1395"/>
      <c r="O541" s="1395"/>
      <c r="P541" s="1396"/>
    </row>
    <row r="542" spans="1:16" ht="26.25" customHeight="1">
      <c r="A542" s="25"/>
      <c r="B542" s="27">
        <v>1100</v>
      </c>
      <c r="C542" s="27"/>
      <c r="D542" s="646"/>
      <c r="E542" s="646"/>
      <c r="F542" s="287"/>
      <c r="G542" s="781"/>
      <c r="H542" s="759"/>
      <c r="I542" s="759"/>
      <c r="J542" s="759"/>
      <c r="K542" s="759"/>
      <c r="L542" s="759"/>
      <c r="M542" s="759"/>
      <c r="N542" s="1353"/>
      <c r="O542" s="1353"/>
      <c r="P542" s="1354"/>
    </row>
    <row r="543" spans="1:16" ht="30" customHeight="1">
      <c r="A543" s="25"/>
      <c r="B543" s="32" t="s">
        <v>54</v>
      </c>
      <c r="C543" s="24"/>
      <c r="D543" s="645">
        <f>D545+D547</f>
        <v>17409878</v>
      </c>
      <c r="E543" s="645">
        <f>E545+E547</f>
        <v>15381075</v>
      </c>
      <c r="F543" s="286">
        <f>D543-E543</f>
        <v>2028803</v>
      </c>
      <c r="G543" s="756"/>
      <c r="H543" s="756"/>
      <c r="I543" s="756"/>
      <c r="J543" s="756"/>
      <c r="K543" s="756"/>
      <c r="L543" s="756"/>
      <c r="M543" s="756"/>
      <c r="N543" s="1375"/>
      <c r="O543" s="1375"/>
      <c r="P543" s="1376"/>
    </row>
    <row r="544" spans="1:16" ht="25.5" customHeight="1">
      <c r="A544" s="25"/>
      <c r="B544" s="27"/>
      <c r="C544" s="27">
        <v>1110</v>
      </c>
      <c r="D544" s="646"/>
      <c r="E544" s="646"/>
      <c r="F544" s="287"/>
      <c r="G544" s="759"/>
      <c r="H544" s="759"/>
      <c r="I544" s="759"/>
      <c r="J544" s="759"/>
      <c r="K544" s="759"/>
      <c r="L544" s="759"/>
      <c r="M544" s="759"/>
      <c r="N544" s="1397"/>
      <c r="O544" s="1397"/>
      <c r="P544" s="1398"/>
    </row>
    <row r="545" spans="1:16" ht="30" customHeight="1">
      <c r="A545" s="25"/>
      <c r="B545" s="27"/>
      <c r="C545" s="24" t="s">
        <v>55</v>
      </c>
      <c r="D545" s="645">
        <f>D541</f>
        <v>17409878</v>
      </c>
      <c r="E545" s="645">
        <v>15381075</v>
      </c>
      <c r="F545" s="286">
        <f>D545-E545</f>
        <v>2028803</v>
      </c>
      <c r="G545" s="756"/>
      <c r="H545" s="756"/>
      <c r="I545" s="756"/>
      <c r="J545" s="756"/>
      <c r="K545" s="756"/>
      <c r="L545" s="756"/>
      <c r="M545" s="756"/>
      <c r="N545" s="1375"/>
      <c r="O545" s="1375"/>
      <c r="P545" s="1376"/>
    </row>
    <row r="546" spans="1:16" ht="17.25" customHeight="1">
      <c r="A546" s="25"/>
      <c r="B546" s="27"/>
      <c r="C546" s="27">
        <v>1120</v>
      </c>
      <c r="D546" s="663"/>
      <c r="E546" s="663"/>
      <c r="F546" s="231"/>
      <c r="G546" s="759"/>
      <c r="H546" s="759"/>
      <c r="I546" s="759"/>
      <c r="J546" s="759"/>
      <c r="K546" s="759"/>
      <c r="L546" s="759"/>
      <c r="M546" s="759"/>
      <c r="N546" s="1353"/>
      <c r="O546" s="1353"/>
      <c r="P546" s="1354"/>
    </row>
    <row r="547" spans="1:16" ht="30" customHeight="1">
      <c r="A547" s="25"/>
      <c r="B547" s="27"/>
      <c r="C547" s="32" t="s">
        <v>56</v>
      </c>
      <c r="D547" s="663">
        <v>0</v>
      </c>
      <c r="E547" s="663">
        <v>0</v>
      </c>
      <c r="F547" s="286">
        <f>D547-E547</f>
        <v>0</v>
      </c>
      <c r="G547" s="759"/>
      <c r="H547" s="759"/>
      <c r="I547" s="759"/>
      <c r="J547" s="759"/>
      <c r="K547" s="759"/>
      <c r="L547" s="759"/>
      <c r="M547" s="759"/>
      <c r="N547" s="1375"/>
      <c r="O547" s="1375"/>
      <c r="P547" s="1376"/>
    </row>
    <row r="548" spans="1:16" ht="26.25" customHeight="1">
      <c r="A548" s="25"/>
      <c r="B548" s="28">
        <v>2100</v>
      </c>
      <c r="C548" s="28"/>
      <c r="D548" s="664"/>
      <c r="E548" s="664"/>
      <c r="F548" s="288"/>
      <c r="G548" s="783"/>
      <c r="H548" s="783"/>
      <c r="I548" s="783"/>
      <c r="J548" s="783"/>
      <c r="K548" s="783"/>
      <c r="L548" s="783"/>
      <c r="M548" s="783"/>
      <c r="N548" s="1397"/>
      <c r="O548" s="1397"/>
      <c r="P548" s="1398"/>
    </row>
    <row r="549" spans="1:16" ht="30" customHeight="1">
      <c r="A549" s="25"/>
      <c r="B549" s="32" t="s">
        <v>57</v>
      </c>
      <c r="C549" s="24"/>
      <c r="D549" s="665">
        <f>D551+D553+D555</f>
        <v>0</v>
      </c>
      <c r="E549" s="665">
        <f>E551+E553+E555</f>
        <v>0</v>
      </c>
      <c r="F549" s="286">
        <f>D549-E549</f>
        <v>0</v>
      </c>
      <c r="G549" s="756"/>
      <c r="H549" s="756"/>
      <c r="I549" s="756"/>
      <c r="J549" s="756"/>
      <c r="K549" s="756"/>
      <c r="L549" s="756"/>
      <c r="M549" s="756"/>
      <c r="N549" s="1375"/>
      <c r="O549" s="1375"/>
      <c r="P549" s="1376"/>
    </row>
    <row r="550" spans="1:16" ht="18" customHeight="1">
      <c r="A550" s="25"/>
      <c r="B550" s="27"/>
      <c r="C550" s="27">
        <v>2120</v>
      </c>
      <c r="D550" s="663"/>
      <c r="E550" s="663"/>
      <c r="F550" s="287"/>
      <c r="G550" s="759"/>
      <c r="H550" s="759"/>
      <c r="I550" s="759"/>
      <c r="J550" s="759"/>
      <c r="K550" s="759"/>
      <c r="L550" s="759"/>
      <c r="M550" s="759"/>
      <c r="N550" s="1353"/>
      <c r="O550" s="1353"/>
      <c r="P550" s="1354"/>
    </row>
    <row r="551" spans="1:16" ht="27" customHeight="1">
      <c r="A551" s="25"/>
      <c r="B551" s="27"/>
      <c r="C551" s="27" t="s">
        <v>58</v>
      </c>
      <c r="D551" s="663">
        <v>0</v>
      </c>
      <c r="E551" s="663">
        <v>0</v>
      </c>
      <c r="F551" s="286">
        <f>D551-E551</f>
        <v>0</v>
      </c>
      <c r="G551" s="759"/>
      <c r="H551" s="759"/>
      <c r="I551" s="759"/>
      <c r="J551" s="759"/>
      <c r="K551" s="759"/>
      <c r="L551" s="759"/>
      <c r="M551" s="759"/>
      <c r="N551" s="1375"/>
      <c r="O551" s="1375"/>
      <c r="P551" s="1376"/>
    </row>
    <row r="552" spans="1:16" ht="27" customHeight="1">
      <c r="A552" s="25"/>
      <c r="B552" s="27"/>
      <c r="C552" s="28">
        <v>2130</v>
      </c>
      <c r="D552" s="664"/>
      <c r="E552" s="664"/>
      <c r="F552" s="288"/>
      <c r="G552" s="783"/>
      <c r="H552" s="783"/>
      <c r="I552" s="783"/>
      <c r="J552" s="783"/>
      <c r="K552" s="783"/>
      <c r="L552" s="783"/>
      <c r="M552" s="783"/>
      <c r="N552" s="1397"/>
      <c r="O552" s="1397"/>
      <c r="P552" s="1398"/>
    </row>
    <row r="553" spans="1:16" ht="21" customHeight="1">
      <c r="A553" s="25"/>
      <c r="B553" s="27"/>
      <c r="C553" s="24" t="s">
        <v>59</v>
      </c>
      <c r="D553" s="665">
        <v>0</v>
      </c>
      <c r="E553" s="665">
        <v>0</v>
      </c>
      <c r="F553" s="286">
        <f>D553-E553</f>
        <v>0</v>
      </c>
      <c r="G553" s="756"/>
      <c r="H553" s="756"/>
      <c r="I553" s="756"/>
      <c r="J553" s="756"/>
      <c r="K553" s="756"/>
      <c r="L553" s="756"/>
      <c r="M553" s="756"/>
      <c r="N553" s="1375"/>
      <c r="O553" s="1375"/>
      <c r="P553" s="1376"/>
    </row>
    <row r="554" spans="1:16" ht="20.25" customHeight="1">
      <c r="A554" s="25"/>
      <c r="B554" s="27"/>
      <c r="C554" s="27">
        <v>2140</v>
      </c>
      <c r="D554" s="663"/>
      <c r="E554" s="663"/>
      <c r="F554" s="287"/>
      <c r="G554" s="759"/>
      <c r="H554" s="759"/>
      <c r="I554" s="759"/>
      <c r="J554" s="759"/>
      <c r="K554" s="759"/>
      <c r="L554" s="759"/>
      <c r="M554" s="759"/>
      <c r="N554" s="1353"/>
      <c r="O554" s="1353"/>
      <c r="P554" s="1354"/>
    </row>
    <row r="555" spans="1:16" ht="38.25" customHeight="1">
      <c r="A555" s="29"/>
      <c r="B555" s="30"/>
      <c r="C555" s="124" t="s">
        <v>60</v>
      </c>
      <c r="D555" s="666">
        <v>0</v>
      </c>
      <c r="E555" s="666">
        <v>0</v>
      </c>
      <c r="F555" s="289">
        <f>E555-D555</f>
        <v>0</v>
      </c>
      <c r="G555" s="772"/>
      <c r="H555" s="772"/>
      <c r="I555" s="772"/>
      <c r="J555" s="772"/>
      <c r="K555" s="772"/>
      <c r="L555" s="772"/>
      <c r="M555" s="772"/>
      <c r="N555" s="1384"/>
      <c r="O555" s="1384"/>
      <c r="P555" s="1385"/>
    </row>
    <row r="556" spans="5:13" ht="20.25" customHeight="1">
      <c r="E556" s="374"/>
      <c r="F556" s="31"/>
      <c r="G556" s="826"/>
      <c r="H556" s="826"/>
      <c r="I556" s="826"/>
      <c r="J556" s="826"/>
      <c r="K556" s="826"/>
      <c r="L556" s="826"/>
      <c r="M556" s="826"/>
    </row>
    <row r="557" spans="5:13" ht="20.25" customHeight="1">
      <c r="E557" s="374"/>
      <c r="F557" s="31"/>
      <c r="G557" s="826"/>
      <c r="H557" s="826"/>
      <c r="I557" s="826"/>
      <c r="J557" s="826"/>
      <c r="K557" s="826"/>
      <c r="L557" s="826"/>
      <c r="M557" s="826"/>
    </row>
    <row r="558" spans="1:16" s="364" customFormat="1" ht="20.25" customHeight="1">
      <c r="A558" s="13"/>
      <c r="B558" s="13"/>
      <c r="C558" s="13"/>
      <c r="D558" s="667"/>
      <c r="E558" s="374"/>
      <c r="F558" s="31"/>
      <c r="G558" s="826"/>
      <c r="H558" s="826"/>
      <c r="I558" s="826"/>
      <c r="J558" s="826"/>
      <c r="K558" s="826"/>
      <c r="L558" s="826"/>
      <c r="M558" s="826"/>
      <c r="N558" s="744"/>
      <c r="O558" s="744"/>
      <c r="P558" s="744"/>
    </row>
    <row r="559" spans="1:16" s="364" customFormat="1" ht="20.25" customHeight="1">
      <c r="A559" s="13"/>
      <c r="B559" s="13"/>
      <c r="C559" s="13"/>
      <c r="D559" s="667"/>
      <c r="E559" s="374"/>
      <c r="F559" s="31"/>
      <c r="G559" s="826"/>
      <c r="H559" s="826"/>
      <c r="I559" s="826"/>
      <c r="J559" s="826"/>
      <c r="K559" s="826"/>
      <c r="L559" s="826"/>
      <c r="M559" s="826"/>
      <c r="N559" s="744"/>
      <c r="O559" s="744"/>
      <c r="P559" s="744"/>
    </row>
    <row r="560" spans="1:16" s="364" customFormat="1" ht="20.25" customHeight="1">
      <c r="A560" s="13"/>
      <c r="B560" s="13"/>
      <c r="C560" s="13"/>
      <c r="D560" s="667"/>
      <c r="E560" s="374"/>
      <c r="F560" s="31"/>
      <c r="G560" s="826"/>
      <c r="H560" s="826"/>
      <c r="I560" s="826"/>
      <c r="J560" s="826"/>
      <c r="K560" s="826"/>
      <c r="L560" s="826"/>
      <c r="M560" s="826"/>
      <c r="N560" s="744"/>
      <c r="O560" s="744"/>
      <c r="P560" s="744"/>
    </row>
    <row r="561" spans="1:16" s="364" customFormat="1" ht="20.25" customHeight="1">
      <c r="A561" s="13"/>
      <c r="B561" s="13"/>
      <c r="C561" s="13"/>
      <c r="D561" s="667"/>
      <c r="E561" s="374"/>
      <c r="F561" s="31"/>
      <c r="G561" s="826"/>
      <c r="H561" s="826"/>
      <c r="I561" s="826"/>
      <c r="J561" s="826"/>
      <c r="K561" s="826"/>
      <c r="L561" s="826"/>
      <c r="M561" s="826"/>
      <c r="N561" s="744"/>
      <c r="O561" s="744"/>
      <c r="P561" s="744"/>
    </row>
    <row r="562" spans="1:16" s="364" customFormat="1" ht="20.25" customHeight="1">
      <c r="A562" s="13"/>
      <c r="B562" s="13"/>
      <c r="C562" s="13"/>
      <c r="D562" s="667"/>
      <c r="E562" s="374"/>
      <c r="F562" s="31"/>
      <c r="G562" s="826"/>
      <c r="H562" s="826"/>
      <c r="I562" s="826"/>
      <c r="J562" s="826"/>
      <c r="K562" s="826"/>
      <c r="L562" s="826"/>
      <c r="M562" s="826"/>
      <c r="N562" s="744"/>
      <c r="O562" s="744"/>
      <c r="P562" s="744"/>
    </row>
    <row r="563" spans="1:16" s="364" customFormat="1" ht="20.25" customHeight="1">
      <c r="A563" s="13"/>
      <c r="B563" s="13"/>
      <c r="C563" s="13"/>
      <c r="D563" s="667"/>
      <c r="E563" s="374"/>
      <c r="F563" s="31"/>
      <c r="G563" s="826"/>
      <c r="H563" s="826"/>
      <c r="I563" s="826"/>
      <c r="J563" s="826"/>
      <c r="K563" s="826"/>
      <c r="L563" s="826"/>
      <c r="M563" s="826"/>
      <c r="N563" s="744"/>
      <c r="O563" s="744"/>
      <c r="P563" s="744"/>
    </row>
    <row r="564" spans="1:16" s="364" customFormat="1" ht="20.25" customHeight="1">
      <c r="A564" s="13"/>
      <c r="B564" s="13"/>
      <c r="C564" s="13"/>
      <c r="D564" s="667"/>
      <c r="E564" s="374"/>
      <c r="F564" s="31"/>
      <c r="G564" s="826"/>
      <c r="H564" s="826"/>
      <c r="I564" s="826"/>
      <c r="J564" s="826"/>
      <c r="K564" s="826"/>
      <c r="L564" s="826"/>
      <c r="M564" s="826"/>
      <c r="N564" s="744"/>
      <c r="O564" s="744"/>
      <c r="P564" s="744"/>
    </row>
    <row r="565" spans="1:16" s="364" customFormat="1" ht="20.25" customHeight="1">
      <c r="A565" s="13"/>
      <c r="B565" s="13"/>
      <c r="C565" s="13"/>
      <c r="D565" s="667"/>
      <c r="E565" s="374"/>
      <c r="F565" s="31"/>
      <c r="G565" s="826"/>
      <c r="H565" s="826"/>
      <c r="I565" s="826"/>
      <c r="J565" s="826"/>
      <c r="K565" s="826"/>
      <c r="L565" s="826"/>
      <c r="M565" s="826"/>
      <c r="N565" s="744"/>
      <c r="O565" s="744"/>
      <c r="P565" s="744"/>
    </row>
    <row r="566" spans="1:16" s="364" customFormat="1" ht="20.25" customHeight="1">
      <c r="A566" s="13"/>
      <c r="B566" s="13"/>
      <c r="C566" s="13"/>
      <c r="D566" s="667"/>
      <c r="E566" s="374"/>
      <c r="F566" s="31"/>
      <c r="G566" s="826"/>
      <c r="H566" s="826"/>
      <c r="I566" s="826"/>
      <c r="J566" s="826"/>
      <c r="K566" s="826"/>
      <c r="L566" s="826"/>
      <c r="M566" s="826"/>
      <c r="N566" s="744"/>
      <c r="O566" s="744"/>
      <c r="P566" s="744"/>
    </row>
    <row r="567" spans="1:16" s="364" customFormat="1" ht="20.25" customHeight="1">
      <c r="A567" s="13"/>
      <c r="B567" s="13"/>
      <c r="C567" s="13"/>
      <c r="D567" s="667"/>
      <c r="E567" s="374"/>
      <c r="F567" s="31"/>
      <c r="G567" s="826"/>
      <c r="H567" s="826"/>
      <c r="I567" s="826"/>
      <c r="J567" s="826"/>
      <c r="K567" s="826"/>
      <c r="L567" s="826"/>
      <c r="M567" s="826"/>
      <c r="N567" s="744"/>
      <c r="O567" s="744"/>
      <c r="P567" s="744"/>
    </row>
    <row r="568" spans="1:16" s="364" customFormat="1" ht="20.25" customHeight="1">
      <c r="A568" s="13"/>
      <c r="B568" s="13"/>
      <c r="C568" s="13"/>
      <c r="D568" s="667"/>
      <c r="E568" s="667"/>
      <c r="F568" s="13"/>
      <c r="G568" s="743"/>
      <c r="H568" s="743"/>
      <c r="I568" s="743"/>
      <c r="J568" s="743"/>
      <c r="K568" s="743"/>
      <c r="L568" s="743"/>
      <c r="M568" s="743"/>
      <c r="N568" s="744"/>
      <c r="O568" s="744"/>
      <c r="P568" s="744"/>
    </row>
    <row r="569" spans="1:16" s="364" customFormat="1" ht="20.25" customHeight="1">
      <c r="A569" s="13"/>
      <c r="B569" s="13"/>
      <c r="C569" s="13"/>
      <c r="D569" s="667"/>
      <c r="E569" s="667"/>
      <c r="F569" s="13"/>
      <c r="G569" s="743"/>
      <c r="H569" s="743"/>
      <c r="I569" s="743"/>
      <c r="J569" s="743"/>
      <c r="K569" s="743"/>
      <c r="L569" s="743"/>
      <c r="M569" s="743"/>
      <c r="N569" s="744"/>
      <c r="O569" s="744"/>
      <c r="P569" s="744"/>
    </row>
    <row r="570" spans="1:16" s="364" customFormat="1" ht="20.25" customHeight="1">
      <c r="A570" s="13"/>
      <c r="B570" s="13"/>
      <c r="C570" s="13"/>
      <c r="D570" s="667"/>
      <c r="E570" s="667"/>
      <c r="F570" s="13"/>
      <c r="G570" s="743"/>
      <c r="H570" s="743"/>
      <c r="I570" s="743"/>
      <c r="J570" s="743"/>
      <c r="K570" s="743"/>
      <c r="L570" s="743"/>
      <c r="M570" s="743"/>
      <c r="N570" s="744"/>
      <c r="O570" s="744"/>
      <c r="P570" s="744"/>
    </row>
    <row r="571" spans="1:16" s="364" customFormat="1" ht="20.25" customHeight="1">
      <c r="A571" s="13"/>
      <c r="B571" s="13"/>
      <c r="C571" s="13"/>
      <c r="D571" s="667"/>
      <c r="E571" s="667"/>
      <c r="F571" s="13"/>
      <c r="G571" s="743"/>
      <c r="H571" s="743"/>
      <c r="I571" s="743"/>
      <c r="J571" s="743"/>
      <c r="K571" s="743"/>
      <c r="L571" s="743"/>
      <c r="M571" s="743"/>
      <c r="N571" s="744"/>
      <c r="O571" s="744"/>
      <c r="P571" s="744"/>
    </row>
    <row r="572" spans="1:16" s="364" customFormat="1" ht="20.25" customHeight="1">
      <c r="A572" s="13"/>
      <c r="B572" s="13"/>
      <c r="C572" s="13"/>
      <c r="D572" s="667"/>
      <c r="E572" s="667"/>
      <c r="F572" s="13"/>
      <c r="G572" s="743"/>
      <c r="H572" s="743"/>
      <c r="I572" s="743"/>
      <c r="J572" s="743"/>
      <c r="K572" s="743"/>
      <c r="L572" s="743"/>
      <c r="M572" s="743"/>
      <c r="N572" s="744"/>
      <c r="O572" s="744"/>
      <c r="P572" s="744"/>
    </row>
    <row r="573" spans="1:16" s="364" customFormat="1" ht="20.25" customHeight="1">
      <c r="A573" s="13"/>
      <c r="B573" s="13"/>
      <c r="C573" s="13"/>
      <c r="D573" s="667"/>
      <c r="E573" s="667"/>
      <c r="F573" s="13"/>
      <c r="G573" s="743"/>
      <c r="H573" s="743"/>
      <c r="I573" s="743"/>
      <c r="J573" s="743"/>
      <c r="K573" s="743"/>
      <c r="L573" s="743"/>
      <c r="M573" s="743"/>
      <c r="N573" s="744"/>
      <c r="O573" s="744"/>
      <c r="P573" s="744"/>
    </row>
    <row r="574" spans="4:16" s="13" customFormat="1" ht="20.25" customHeight="1">
      <c r="D574" s="667"/>
      <c r="E574" s="667"/>
      <c r="G574" s="743"/>
      <c r="H574" s="743"/>
      <c r="I574" s="743"/>
      <c r="J574" s="743"/>
      <c r="K574" s="743"/>
      <c r="L574" s="743"/>
      <c r="M574" s="743"/>
      <c r="N574" s="744"/>
      <c r="O574" s="744"/>
      <c r="P574" s="744"/>
    </row>
    <row r="575" spans="4:16" s="13" customFormat="1" ht="20.25" customHeight="1">
      <c r="D575" s="667"/>
      <c r="E575" s="667"/>
      <c r="G575" s="743"/>
      <c r="H575" s="743"/>
      <c r="I575" s="743"/>
      <c r="J575" s="743"/>
      <c r="K575" s="743"/>
      <c r="L575" s="743"/>
      <c r="M575" s="743"/>
      <c r="N575" s="744"/>
      <c r="O575" s="744"/>
      <c r="P575" s="744"/>
    </row>
    <row r="576" spans="4:16" s="13" customFormat="1" ht="20.25" customHeight="1">
      <c r="D576" s="667"/>
      <c r="E576" s="667"/>
      <c r="G576" s="743"/>
      <c r="H576" s="743"/>
      <c r="I576" s="743"/>
      <c r="J576" s="743"/>
      <c r="K576" s="743"/>
      <c r="L576" s="743"/>
      <c r="M576" s="743"/>
      <c r="N576" s="744"/>
      <c r="O576" s="744"/>
      <c r="P576" s="744"/>
    </row>
    <row r="577" spans="4:16" s="13" customFormat="1" ht="20.25" customHeight="1">
      <c r="D577" s="667"/>
      <c r="E577" s="667"/>
      <c r="G577" s="743"/>
      <c r="H577" s="743"/>
      <c r="I577" s="743"/>
      <c r="J577" s="743"/>
      <c r="K577" s="743"/>
      <c r="L577" s="743"/>
      <c r="M577" s="743"/>
      <c r="N577" s="744"/>
      <c r="O577" s="744"/>
      <c r="P577" s="744"/>
    </row>
    <row r="578" spans="4:16" s="13" customFormat="1" ht="20.25" customHeight="1">
      <c r="D578" s="667"/>
      <c r="E578" s="667"/>
      <c r="G578" s="743"/>
      <c r="H578" s="743"/>
      <c r="I578" s="743"/>
      <c r="J578" s="743"/>
      <c r="K578" s="743"/>
      <c r="L578" s="743"/>
      <c r="M578" s="743"/>
      <c r="N578" s="744"/>
      <c r="O578" s="744"/>
      <c r="P578" s="744"/>
    </row>
    <row r="579" spans="4:16" s="13" customFormat="1" ht="20.25" customHeight="1">
      <c r="D579" s="667"/>
      <c r="E579" s="667"/>
      <c r="G579" s="743"/>
      <c r="H579" s="743"/>
      <c r="I579" s="743"/>
      <c r="J579" s="743"/>
      <c r="K579" s="743"/>
      <c r="L579" s="743"/>
      <c r="M579" s="743"/>
      <c r="N579" s="744"/>
      <c r="O579" s="744"/>
      <c r="P579" s="744"/>
    </row>
    <row r="580" spans="4:16" s="13" customFormat="1" ht="20.25" customHeight="1">
      <c r="D580" s="667"/>
      <c r="E580" s="667"/>
      <c r="G580" s="743"/>
      <c r="H580" s="743"/>
      <c r="I580" s="743"/>
      <c r="J580" s="743"/>
      <c r="K580" s="743"/>
      <c r="L580" s="743"/>
      <c r="M580" s="743"/>
      <c r="N580" s="744"/>
      <c r="O580" s="744"/>
      <c r="P580" s="744"/>
    </row>
    <row r="581" spans="4:16" s="13" customFormat="1" ht="20.25" customHeight="1">
      <c r="D581" s="667"/>
      <c r="E581" s="667"/>
      <c r="G581" s="743"/>
      <c r="H581" s="743"/>
      <c r="I581" s="743"/>
      <c r="J581" s="743"/>
      <c r="K581" s="743"/>
      <c r="L581" s="743"/>
      <c r="M581" s="743"/>
      <c r="N581" s="744"/>
      <c r="O581" s="744"/>
      <c r="P581" s="744"/>
    </row>
    <row r="582" spans="4:16" s="13" customFormat="1" ht="20.25" customHeight="1">
      <c r="D582" s="667"/>
      <c r="E582" s="667"/>
      <c r="G582" s="743"/>
      <c r="H582" s="743"/>
      <c r="I582" s="743"/>
      <c r="J582" s="743"/>
      <c r="K582" s="743"/>
      <c r="L582" s="743"/>
      <c r="M582" s="743"/>
      <c r="N582" s="744"/>
      <c r="O582" s="744"/>
      <c r="P582" s="744"/>
    </row>
    <row r="583" spans="4:16" s="13" customFormat="1" ht="20.25" customHeight="1">
      <c r="D583" s="667"/>
      <c r="E583" s="667"/>
      <c r="G583" s="743"/>
      <c r="H583" s="743"/>
      <c r="I583" s="743"/>
      <c r="J583" s="743"/>
      <c r="K583" s="743"/>
      <c r="L583" s="743"/>
      <c r="M583" s="743"/>
      <c r="N583" s="744"/>
      <c r="O583" s="744"/>
      <c r="P583" s="744"/>
    </row>
    <row r="584" spans="4:16" s="13" customFormat="1" ht="20.25" customHeight="1">
      <c r="D584" s="667"/>
      <c r="E584" s="667"/>
      <c r="G584" s="743"/>
      <c r="H584" s="743"/>
      <c r="I584" s="743"/>
      <c r="J584" s="743"/>
      <c r="K584" s="743"/>
      <c r="L584" s="743"/>
      <c r="M584" s="743"/>
      <c r="N584" s="744"/>
      <c r="O584" s="744"/>
      <c r="P584" s="744"/>
    </row>
    <row r="585" spans="4:16" s="13" customFormat="1" ht="20.25" customHeight="1">
      <c r="D585" s="667"/>
      <c r="E585" s="667"/>
      <c r="G585" s="743"/>
      <c r="H585" s="743"/>
      <c r="I585" s="743"/>
      <c r="J585" s="743"/>
      <c r="K585" s="743"/>
      <c r="L585" s="743"/>
      <c r="M585" s="743"/>
      <c r="N585" s="744"/>
      <c r="O585" s="744"/>
      <c r="P585" s="744"/>
    </row>
    <row r="586" spans="4:16" s="13" customFormat="1" ht="20.25" customHeight="1">
      <c r="D586" s="667"/>
      <c r="E586" s="667"/>
      <c r="G586" s="743"/>
      <c r="H586" s="743"/>
      <c r="I586" s="743"/>
      <c r="J586" s="743"/>
      <c r="K586" s="743"/>
      <c r="L586" s="743"/>
      <c r="M586" s="743"/>
      <c r="N586" s="744"/>
      <c r="O586" s="744"/>
      <c r="P586" s="744"/>
    </row>
    <row r="587" spans="4:16" s="13" customFormat="1" ht="20.25" customHeight="1">
      <c r="D587" s="667"/>
      <c r="E587" s="667"/>
      <c r="G587" s="743"/>
      <c r="H587" s="743"/>
      <c r="I587" s="743"/>
      <c r="J587" s="743"/>
      <c r="K587" s="743"/>
      <c r="L587" s="743"/>
      <c r="M587" s="743"/>
      <c r="N587" s="744"/>
      <c r="O587" s="744"/>
      <c r="P587" s="744"/>
    </row>
    <row r="588" spans="4:16" s="13" customFormat="1" ht="20.25" customHeight="1">
      <c r="D588" s="667"/>
      <c r="E588" s="667"/>
      <c r="G588" s="743"/>
      <c r="H588" s="743"/>
      <c r="I588" s="743"/>
      <c r="J588" s="743"/>
      <c r="K588" s="743"/>
      <c r="L588" s="743"/>
      <c r="M588" s="743"/>
      <c r="N588" s="744"/>
      <c r="O588" s="744"/>
      <c r="P588" s="744"/>
    </row>
    <row r="589" spans="4:16" s="13" customFormat="1" ht="20.25" customHeight="1">
      <c r="D589" s="667"/>
      <c r="E589" s="667"/>
      <c r="G589" s="743"/>
      <c r="H589" s="743"/>
      <c r="I589" s="743"/>
      <c r="J589" s="743"/>
      <c r="K589" s="743"/>
      <c r="L589" s="743"/>
      <c r="M589" s="743"/>
      <c r="N589" s="744"/>
      <c r="O589" s="744"/>
      <c r="P589" s="744"/>
    </row>
    <row r="590" spans="4:16" s="13" customFormat="1" ht="20.25" customHeight="1">
      <c r="D590" s="667"/>
      <c r="E590" s="667"/>
      <c r="G590" s="743"/>
      <c r="H590" s="743"/>
      <c r="I590" s="743"/>
      <c r="J590" s="743"/>
      <c r="K590" s="743"/>
      <c r="L590" s="743"/>
      <c r="M590" s="743"/>
      <c r="N590" s="744"/>
      <c r="O590" s="744"/>
      <c r="P590" s="744"/>
    </row>
    <row r="591" spans="4:16" s="13" customFormat="1" ht="20.25" customHeight="1">
      <c r="D591" s="667"/>
      <c r="E591" s="667"/>
      <c r="G591" s="743"/>
      <c r="H591" s="743"/>
      <c r="I591" s="743"/>
      <c r="J591" s="743"/>
      <c r="K591" s="743"/>
      <c r="L591" s="743"/>
      <c r="M591" s="743"/>
      <c r="N591" s="744"/>
      <c r="O591" s="744"/>
      <c r="P591" s="744"/>
    </row>
    <row r="592" spans="4:16" s="13" customFormat="1" ht="20.25" customHeight="1">
      <c r="D592" s="667"/>
      <c r="E592" s="667"/>
      <c r="G592" s="743"/>
      <c r="H592" s="743"/>
      <c r="I592" s="743"/>
      <c r="J592" s="743"/>
      <c r="K592" s="743"/>
      <c r="L592" s="743"/>
      <c r="M592" s="743"/>
      <c r="N592" s="744"/>
      <c r="O592" s="744"/>
      <c r="P592" s="744"/>
    </row>
    <row r="593" spans="4:16" s="13" customFormat="1" ht="20.25" customHeight="1">
      <c r="D593" s="667"/>
      <c r="E593" s="667"/>
      <c r="G593" s="743"/>
      <c r="H593" s="743"/>
      <c r="I593" s="743"/>
      <c r="J593" s="743"/>
      <c r="K593" s="743"/>
      <c r="L593" s="743"/>
      <c r="M593" s="743"/>
      <c r="N593" s="744"/>
      <c r="O593" s="744"/>
      <c r="P593" s="744"/>
    </row>
    <row r="594" spans="4:16" s="13" customFormat="1" ht="20.25" customHeight="1">
      <c r="D594" s="667"/>
      <c r="E594" s="667"/>
      <c r="G594" s="743"/>
      <c r="H594" s="743"/>
      <c r="I594" s="743"/>
      <c r="J594" s="743"/>
      <c r="K594" s="743"/>
      <c r="L594" s="743"/>
      <c r="M594" s="743"/>
      <c r="N594" s="744"/>
      <c r="O594" s="744"/>
      <c r="P594" s="744"/>
    </row>
    <row r="595" spans="4:16" s="13" customFormat="1" ht="20.25" customHeight="1">
      <c r="D595" s="667"/>
      <c r="E595" s="667"/>
      <c r="G595" s="743"/>
      <c r="H595" s="743"/>
      <c r="I595" s="743"/>
      <c r="J595" s="743"/>
      <c r="K595" s="743"/>
      <c r="L595" s="743"/>
      <c r="M595" s="743"/>
      <c r="N595" s="744"/>
      <c r="O595" s="744"/>
      <c r="P595" s="744"/>
    </row>
    <row r="596" spans="4:16" s="13" customFormat="1" ht="20.25" customHeight="1">
      <c r="D596" s="667"/>
      <c r="E596" s="667"/>
      <c r="G596" s="743"/>
      <c r="H596" s="743"/>
      <c r="I596" s="743"/>
      <c r="J596" s="743"/>
      <c r="K596" s="743"/>
      <c r="L596" s="743"/>
      <c r="M596" s="743"/>
      <c r="N596" s="744"/>
      <c r="O596" s="744"/>
      <c r="P596" s="744"/>
    </row>
    <row r="597" spans="4:16" s="13" customFormat="1" ht="20.25" customHeight="1">
      <c r="D597" s="667"/>
      <c r="E597" s="667"/>
      <c r="G597" s="743"/>
      <c r="H597" s="743"/>
      <c r="I597" s="743"/>
      <c r="J597" s="743"/>
      <c r="K597" s="743"/>
      <c r="L597" s="743"/>
      <c r="M597" s="743"/>
      <c r="N597" s="744"/>
      <c r="O597" s="744"/>
      <c r="P597" s="744"/>
    </row>
    <row r="598" spans="4:16" s="13" customFormat="1" ht="20.25" customHeight="1">
      <c r="D598" s="667"/>
      <c r="E598" s="667"/>
      <c r="G598" s="743"/>
      <c r="H598" s="743"/>
      <c r="I598" s="743"/>
      <c r="J598" s="743"/>
      <c r="K598" s="743"/>
      <c r="L598" s="743"/>
      <c r="M598" s="743"/>
      <c r="N598" s="744"/>
      <c r="O598" s="744"/>
      <c r="P598" s="744"/>
    </row>
    <row r="599" spans="4:16" s="13" customFormat="1" ht="20.25" customHeight="1">
      <c r="D599" s="667"/>
      <c r="E599" s="667"/>
      <c r="G599" s="743"/>
      <c r="H599" s="743"/>
      <c r="I599" s="743"/>
      <c r="J599" s="743"/>
      <c r="K599" s="743"/>
      <c r="L599" s="743"/>
      <c r="M599" s="743"/>
      <c r="N599" s="744"/>
      <c r="O599" s="744"/>
      <c r="P599" s="744"/>
    </row>
    <row r="600" spans="4:16" s="13" customFormat="1" ht="20.25" customHeight="1">
      <c r="D600" s="667"/>
      <c r="E600" s="667"/>
      <c r="G600" s="743"/>
      <c r="H600" s="743"/>
      <c r="I600" s="743"/>
      <c r="J600" s="743"/>
      <c r="K600" s="743"/>
      <c r="L600" s="743"/>
      <c r="M600" s="743"/>
      <c r="N600" s="744"/>
      <c r="O600" s="744"/>
      <c r="P600" s="744"/>
    </row>
    <row r="601" spans="4:16" s="13" customFormat="1" ht="20.25" customHeight="1">
      <c r="D601" s="667"/>
      <c r="E601" s="667"/>
      <c r="G601" s="743"/>
      <c r="H601" s="743"/>
      <c r="I601" s="743"/>
      <c r="J601" s="743"/>
      <c r="K601" s="743"/>
      <c r="L601" s="743"/>
      <c r="M601" s="743"/>
      <c r="N601" s="744"/>
      <c r="O601" s="744"/>
      <c r="P601" s="744"/>
    </row>
    <row r="602" spans="4:16" s="13" customFormat="1" ht="20.25" customHeight="1">
      <c r="D602" s="667"/>
      <c r="E602" s="667"/>
      <c r="G602" s="743"/>
      <c r="H602" s="743"/>
      <c r="I602" s="743"/>
      <c r="J602" s="743"/>
      <c r="K602" s="743"/>
      <c r="L602" s="743"/>
      <c r="M602" s="743"/>
      <c r="N602" s="744"/>
      <c r="O602" s="744"/>
      <c r="P602" s="744"/>
    </row>
    <row r="603" spans="4:16" s="13" customFormat="1" ht="20.25" customHeight="1">
      <c r="D603" s="667"/>
      <c r="E603" s="667"/>
      <c r="G603" s="743"/>
      <c r="H603" s="743"/>
      <c r="I603" s="743"/>
      <c r="J603" s="743"/>
      <c r="K603" s="743"/>
      <c r="L603" s="743"/>
      <c r="M603" s="743"/>
      <c r="N603" s="744"/>
      <c r="O603" s="744"/>
      <c r="P603" s="744"/>
    </row>
    <row r="604" spans="4:16" s="13" customFormat="1" ht="20.25" customHeight="1">
      <c r="D604" s="667"/>
      <c r="E604" s="667"/>
      <c r="G604" s="743"/>
      <c r="H604" s="743"/>
      <c r="I604" s="743"/>
      <c r="J604" s="743"/>
      <c r="K604" s="743"/>
      <c r="L604" s="743"/>
      <c r="M604" s="743"/>
      <c r="N604" s="744"/>
      <c r="O604" s="744"/>
      <c r="P604" s="744"/>
    </row>
    <row r="605" spans="4:16" s="13" customFormat="1" ht="20.25" customHeight="1">
      <c r="D605" s="667"/>
      <c r="E605" s="667"/>
      <c r="G605" s="743"/>
      <c r="H605" s="743"/>
      <c r="I605" s="743"/>
      <c r="J605" s="743"/>
      <c r="K605" s="743"/>
      <c r="L605" s="743"/>
      <c r="M605" s="743"/>
      <c r="N605" s="744"/>
      <c r="O605" s="744"/>
      <c r="P605" s="744"/>
    </row>
    <row r="606" spans="4:16" s="13" customFormat="1" ht="20.25" customHeight="1">
      <c r="D606" s="667"/>
      <c r="E606" s="667"/>
      <c r="G606" s="743"/>
      <c r="H606" s="743"/>
      <c r="I606" s="743"/>
      <c r="J606" s="743"/>
      <c r="K606" s="743"/>
      <c r="L606" s="743"/>
      <c r="M606" s="743"/>
      <c r="N606" s="744"/>
      <c r="O606" s="744"/>
      <c r="P606" s="744"/>
    </row>
    <row r="607" spans="4:16" s="13" customFormat="1" ht="20.25" customHeight="1">
      <c r="D607" s="667"/>
      <c r="E607" s="667"/>
      <c r="G607" s="743"/>
      <c r="H607" s="743"/>
      <c r="I607" s="743"/>
      <c r="J607" s="743"/>
      <c r="K607" s="743"/>
      <c r="L607" s="743"/>
      <c r="M607" s="743"/>
      <c r="N607" s="744"/>
      <c r="O607" s="744"/>
      <c r="P607" s="744"/>
    </row>
    <row r="608" spans="4:16" s="13" customFormat="1" ht="20.25" customHeight="1">
      <c r="D608" s="667"/>
      <c r="E608" s="667"/>
      <c r="G608" s="743"/>
      <c r="H608" s="743"/>
      <c r="I608" s="743"/>
      <c r="J608" s="743"/>
      <c r="K608" s="743"/>
      <c r="L608" s="743"/>
      <c r="M608" s="743"/>
      <c r="N608" s="744"/>
      <c r="O608" s="744"/>
      <c r="P608" s="744"/>
    </row>
    <row r="609" spans="4:16" s="13" customFormat="1" ht="20.25" customHeight="1">
      <c r="D609" s="667"/>
      <c r="E609" s="667"/>
      <c r="G609" s="743"/>
      <c r="H609" s="743"/>
      <c r="I609" s="743"/>
      <c r="J609" s="743"/>
      <c r="K609" s="743"/>
      <c r="L609" s="743"/>
      <c r="M609" s="743"/>
      <c r="N609" s="744"/>
      <c r="O609" s="744"/>
      <c r="P609" s="744"/>
    </row>
    <row r="610" spans="4:16" s="13" customFormat="1" ht="20.25" customHeight="1">
      <c r="D610" s="667"/>
      <c r="E610" s="667"/>
      <c r="G610" s="743"/>
      <c r="H610" s="743"/>
      <c r="I610" s="743"/>
      <c r="J610" s="743"/>
      <c r="K610" s="743"/>
      <c r="L610" s="743"/>
      <c r="M610" s="743"/>
      <c r="N610" s="744"/>
      <c r="O610" s="744"/>
      <c r="P610" s="744"/>
    </row>
    <row r="611" spans="4:16" s="13" customFormat="1" ht="20.25" customHeight="1">
      <c r="D611" s="667"/>
      <c r="E611" s="667"/>
      <c r="G611" s="743"/>
      <c r="H611" s="743"/>
      <c r="I611" s="743"/>
      <c r="J611" s="743"/>
      <c r="K611" s="743"/>
      <c r="L611" s="743"/>
      <c r="M611" s="743"/>
      <c r="N611" s="744"/>
      <c r="O611" s="744"/>
      <c r="P611" s="744"/>
    </row>
    <row r="612" spans="4:16" s="13" customFormat="1" ht="20.25" customHeight="1">
      <c r="D612" s="667"/>
      <c r="E612" s="667"/>
      <c r="G612" s="743"/>
      <c r="H612" s="743"/>
      <c r="I612" s="743"/>
      <c r="J612" s="743"/>
      <c r="K612" s="743"/>
      <c r="L612" s="743"/>
      <c r="M612" s="743"/>
      <c r="N612" s="744"/>
      <c r="O612" s="744"/>
      <c r="P612" s="744"/>
    </row>
    <row r="613" spans="4:16" s="13" customFormat="1" ht="20.25" customHeight="1">
      <c r="D613" s="667"/>
      <c r="E613" s="667"/>
      <c r="G613" s="743"/>
      <c r="H613" s="743"/>
      <c r="I613" s="743"/>
      <c r="J613" s="743"/>
      <c r="K613" s="743"/>
      <c r="L613" s="743"/>
      <c r="M613" s="743"/>
      <c r="N613" s="744"/>
      <c r="O613" s="744"/>
      <c r="P613" s="744"/>
    </row>
    <row r="614" spans="4:16" s="13" customFormat="1" ht="20.25" customHeight="1">
      <c r="D614" s="667"/>
      <c r="E614" s="667"/>
      <c r="G614" s="743"/>
      <c r="H614" s="743"/>
      <c r="I614" s="743"/>
      <c r="J614" s="743"/>
      <c r="K614" s="743"/>
      <c r="L614" s="743"/>
      <c r="M614" s="743"/>
      <c r="N614" s="744"/>
      <c r="O614" s="744"/>
      <c r="P614" s="744"/>
    </row>
    <row r="615" spans="4:16" s="13" customFormat="1" ht="20.25" customHeight="1">
      <c r="D615" s="667"/>
      <c r="E615" s="667"/>
      <c r="G615" s="743"/>
      <c r="H615" s="743"/>
      <c r="I615" s="743"/>
      <c r="J615" s="743"/>
      <c r="K615" s="743"/>
      <c r="L615" s="743"/>
      <c r="M615" s="743"/>
      <c r="N615" s="744"/>
      <c r="O615" s="744"/>
      <c r="P615" s="744"/>
    </row>
    <row r="616" spans="4:16" s="13" customFormat="1" ht="20.25" customHeight="1">
      <c r="D616" s="667"/>
      <c r="E616" s="667"/>
      <c r="G616" s="743"/>
      <c r="H616" s="743"/>
      <c r="I616" s="743"/>
      <c r="J616" s="743"/>
      <c r="K616" s="743"/>
      <c r="L616" s="743"/>
      <c r="M616" s="743"/>
      <c r="N616" s="744"/>
      <c r="O616" s="744"/>
      <c r="P616" s="744"/>
    </row>
    <row r="617" spans="4:16" s="13" customFormat="1" ht="20.25" customHeight="1">
      <c r="D617" s="667"/>
      <c r="E617" s="667"/>
      <c r="G617" s="743"/>
      <c r="H617" s="743"/>
      <c r="I617" s="743"/>
      <c r="J617" s="743"/>
      <c r="K617" s="743"/>
      <c r="L617" s="743"/>
      <c r="M617" s="743"/>
      <c r="N617" s="744"/>
      <c r="O617" s="744"/>
      <c r="P617" s="744"/>
    </row>
    <row r="618" spans="4:16" s="13" customFormat="1" ht="20.25" customHeight="1">
      <c r="D618" s="667"/>
      <c r="E618" s="667"/>
      <c r="G618" s="743"/>
      <c r="H618" s="743"/>
      <c r="I618" s="743"/>
      <c r="J618" s="743"/>
      <c r="K618" s="743"/>
      <c r="L618" s="743"/>
      <c r="M618" s="743"/>
      <c r="N618" s="744"/>
      <c r="O618" s="744"/>
      <c r="P618" s="744"/>
    </row>
    <row r="619" spans="4:16" s="13" customFormat="1" ht="20.25" customHeight="1">
      <c r="D619" s="667"/>
      <c r="E619" s="667"/>
      <c r="G619" s="743"/>
      <c r="H619" s="743"/>
      <c r="I619" s="743"/>
      <c r="J619" s="743"/>
      <c r="K619" s="743"/>
      <c r="L619" s="743"/>
      <c r="M619" s="743"/>
      <c r="N619" s="744"/>
      <c r="O619" s="744"/>
      <c r="P619" s="744"/>
    </row>
    <row r="620" spans="4:16" s="13" customFormat="1" ht="20.25" customHeight="1">
      <c r="D620" s="667"/>
      <c r="E620" s="667"/>
      <c r="G620" s="743"/>
      <c r="H620" s="743"/>
      <c r="I620" s="743"/>
      <c r="J620" s="743"/>
      <c r="K620" s="743"/>
      <c r="L620" s="743"/>
      <c r="M620" s="743"/>
      <c r="N620" s="744"/>
      <c r="O620" s="744"/>
      <c r="P620" s="744"/>
    </row>
    <row r="621" spans="4:16" s="13" customFormat="1" ht="20.25" customHeight="1">
      <c r="D621" s="667"/>
      <c r="E621" s="667"/>
      <c r="G621" s="743"/>
      <c r="H621" s="743"/>
      <c r="I621" s="743"/>
      <c r="J621" s="743"/>
      <c r="K621" s="743"/>
      <c r="L621" s="743"/>
      <c r="M621" s="743"/>
      <c r="N621" s="744"/>
      <c r="O621" s="744"/>
      <c r="P621" s="744"/>
    </row>
    <row r="622" spans="4:16" s="13" customFormat="1" ht="20.25" customHeight="1">
      <c r="D622" s="667"/>
      <c r="E622" s="667"/>
      <c r="G622" s="743"/>
      <c r="H622" s="743"/>
      <c r="I622" s="743"/>
      <c r="J622" s="743"/>
      <c r="K622" s="743"/>
      <c r="L622" s="743"/>
      <c r="M622" s="743"/>
      <c r="N622" s="744"/>
      <c r="O622" s="744"/>
      <c r="P622" s="744"/>
    </row>
    <row r="623" spans="4:16" s="13" customFormat="1" ht="20.25" customHeight="1">
      <c r="D623" s="667"/>
      <c r="E623" s="667"/>
      <c r="G623" s="743"/>
      <c r="H623" s="743"/>
      <c r="I623" s="743"/>
      <c r="J623" s="743"/>
      <c r="K623" s="743"/>
      <c r="L623" s="743"/>
      <c r="M623" s="743"/>
      <c r="N623" s="744"/>
      <c r="O623" s="744"/>
      <c r="P623" s="744"/>
    </row>
    <row r="624" spans="4:16" s="13" customFormat="1" ht="20.25" customHeight="1">
      <c r="D624" s="667"/>
      <c r="E624" s="667"/>
      <c r="G624" s="743"/>
      <c r="H624" s="743"/>
      <c r="I624" s="743"/>
      <c r="J624" s="743"/>
      <c r="K624" s="743"/>
      <c r="L624" s="743"/>
      <c r="M624" s="743"/>
      <c r="N624" s="744"/>
      <c r="O624" s="744"/>
      <c r="P624" s="744"/>
    </row>
    <row r="625" spans="4:16" s="13" customFormat="1" ht="20.25" customHeight="1">
      <c r="D625" s="667"/>
      <c r="E625" s="667"/>
      <c r="G625" s="743"/>
      <c r="H625" s="743"/>
      <c r="I625" s="743"/>
      <c r="J625" s="743"/>
      <c r="K625" s="743"/>
      <c r="L625" s="743"/>
      <c r="M625" s="743"/>
      <c r="N625" s="744"/>
      <c r="O625" s="744"/>
      <c r="P625" s="744"/>
    </row>
    <row r="626" spans="4:16" s="13" customFormat="1" ht="20.25" customHeight="1">
      <c r="D626" s="667"/>
      <c r="E626" s="667"/>
      <c r="G626" s="743"/>
      <c r="H626" s="743"/>
      <c r="I626" s="743"/>
      <c r="J626" s="743"/>
      <c r="K626" s="743"/>
      <c r="L626" s="743"/>
      <c r="M626" s="743"/>
      <c r="N626" s="744"/>
      <c r="O626" s="744"/>
      <c r="P626" s="744"/>
    </row>
    <row r="627" spans="4:16" s="13" customFormat="1" ht="20.25" customHeight="1">
      <c r="D627" s="667"/>
      <c r="E627" s="667"/>
      <c r="G627" s="743"/>
      <c r="H627" s="743"/>
      <c r="I627" s="743"/>
      <c r="J627" s="743"/>
      <c r="K627" s="743"/>
      <c r="L627" s="743"/>
      <c r="M627" s="743"/>
      <c r="N627" s="744"/>
      <c r="O627" s="744"/>
      <c r="P627" s="744"/>
    </row>
    <row r="628" spans="4:16" s="13" customFormat="1" ht="20.25" customHeight="1">
      <c r="D628" s="667"/>
      <c r="E628" s="667"/>
      <c r="G628" s="743"/>
      <c r="H628" s="743"/>
      <c r="I628" s="743"/>
      <c r="J628" s="743"/>
      <c r="K628" s="743"/>
      <c r="L628" s="743"/>
      <c r="M628" s="743"/>
      <c r="N628" s="744"/>
      <c r="O628" s="744"/>
      <c r="P628" s="744"/>
    </row>
    <row r="629" spans="4:16" s="13" customFormat="1" ht="20.25" customHeight="1">
      <c r="D629" s="667"/>
      <c r="E629" s="667"/>
      <c r="G629" s="743"/>
      <c r="H629" s="743"/>
      <c r="I629" s="743"/>
      <c r="J629" s="743"/>
      <c r="K629" s="743"/>
      <c r="L629" s="743"/>
      <c r="M629" s="743"/>
      <c r="N629" s="744"/>
      <c r="O629" s="744"/>
      <c r="P629" s="744"/>
    </row>
    <row r="630" spans="4:16" s="13" customFormat="1" ht="20.25" customHeight="1">
      <c r="D630" s="667"/>
      <c r="E630" s="667"/>
      <c r="G630" s="743"/>
      <c r="H630" s="743"/>
      <c r="I630" s="743"/>
      <c r="J630" s="743"/>
      <c r="K630" s="743"/>
      <c r="L630" s="743"/>
      <c r="M630" s="743"/>
      <c r="N630" s="744"/>
      <c r="O630" s="744"/>
      <c r="P630" s="744"/>
    </row>
    <row r="631" spans="4:16" s="13" customFormat="1" ht="20.25" customHeight="1">
      <c r="D631" s="667"/>
      <c r="E631" s="667"/>
      <c r="G631" s="743"/>
      <c r="H631" s="743"/>
      <c r="I631" s="743"/>
      <c r="J631" s="743"/>
      <c r="K631" s="743"/>
      <c r="L631" s="743"/>
      <c r="M631" s="743"/>
      <c r="N631" s="744"/>
      <c r="O631" s="744"/>
      <c r="P631" s="744"/>
    </row>
    <row r="632" spans="4:16" s="13" customFormat="1" ht="20.25" customHeight="1">
      <c r="D632" s="667"/>
      <c r="E632" s="667"/>
      <c r="G632" s="743"/>
      <c r="H632" s="743"/>
      <c r="I632" s="743"/>
      <c r="J632" s="743"/>
      <c r="K632" s="743"/>
      <c r="L632" s="743"/>
      <c r="M632" s="743"/>
      <c r="N632" s="744"/>
      <c r="O632" s="744"/>
      <c r="P632" s="744"/>
    </row>
    <row r="633" spans="4:16" s="13" customFormat="1" ht="20.25" customHeight="1">
      <c r="D633" s="667"/>
      <c r="E633" s="667"/>
      <c r="G633" s="743"/>
      <c r="H633" s="743"/>
      <c r="I633" s="743"/>
      <c r="J633" s="743"/>
      <c r="K633" s="743"/>
      <c r="L633" s="743"/>
      <c r="M633" s="743"/>
      <c r="N633" s="744"/>
      <c r="O633" s="744"/>
      <c r="P633" s="744"/>
    </row>
    <row r="634" spans="4:16" s="13" customFormat="1" ht="20.25" customHeight="1">
      <c r="D634" s="667"/>
      <c r="E634" s="667"/>
      <c r="G634" s="743"/>
      <c r="H634" s="743"/>
      <c r="I634" s="743"/>
      <c r="J634" s="743"/>
      <c r="K634" s="743"/>
      <c r="L634" s="743"/>
      <c r="M634" s="743"/>
      <c r="N634" s="744"/>
      <c r="O634" s="744"/>
      <c r="P634" s="744"/>
    </row>
    <row r="635" spans="4:16" s="13" customFormat="1" ht="20.25" customHeight="1">
      <c r="D635" s="667"/>
      <c r="E635" s="667"/>
      <c r="G635" s="743"/>
      <c r="H635" s="743"/>
      <c r="I635" s="743"/>
      <c r="J635" s="743"/>
      <c r="K635" s="743"/>
      <c r="L635" s="743"/>
      <c r="M635" s="743"/>
      <c r="N635" s="744"/>
      <c r="O635" s="744"/>
      <c r="P635" s="744"/>
    </row>
    <row r="636" spans="4:16" s="13" customFormat="1" ht="20.25" customHeight="1">
      <c r="D636" s="667"/>
      <c r="E636" s="667"/>
      <c r="G636" s="743"/>
      <c r="H636" s="743"/>
      <c r="I636" s="743"/>
      <c r="J636" s="743"/>
      <c r="K636" s="743"/>
      <c r="L636" s="743"/>
      <c r="M636" s="743"/>
      <c r="N636" s="744"/>
      <c r="O636" s="744"/>
      <c r="P636" s="744"/>
    </row>
    <row r="637" spans="4:16" s="13" customFormat="1" ht="20.25" customHeight="1">
      <c r="D637" s="667"/>
      <c r="E637" s="667"/>
      <c r="G637" s="743"/>
      <c r="H637" s="743"/>
      <c r="I637" s="743"/>
      <c r="J637" s="743"/>
      <c r="K637" s="743"/>
      <c r="L637" s="743"/>
      <c r="M637" s="743"/>
      <c r="N637" s="744"/>
      <c r="O637" s="744"/>
      <c r="P637" s="744"/>
    </row>
    <row r="638" spans="4:16" s="13" customFormat="1" ht="20.25" customHeight="1">
      <c r="D638" s="667"/>
      <c r="E638" s="667"/>
      <c r="G638" s="743"/>
      <c r="H638" s="743"/>
      <c r="I638" s="743"/>
      <c r="J638" s="743"/>
      <c r="K638" s="743"/>
      <c r="L638" s="743"/>
      <c r="M638" s="743"/>
      <c r="N638" s="744"/>
      <c r="O638" s="744"/>
      <c r="P638" s="744"/>
    </row>
    <row r="639" spans="4:16" s="13" customFormat="1" ht="20.25" customHeight="1">
      <c r="D639" s="667"/>
      <c r="E639" s="667"/>
      <c r="G639" s="743"/>
      <c r="H639" s="743"/>
      <c r="I639" s="743"/>
      <c r="J639" s="743"/>
      <c r="K639" s="743"/>
      <c r="L639" s="743"/>
      <c r="M639" s="743"/>
      <c r="N639" s="744"/>
      <c r="O639" s="744"/>
      <c r="P639" s="744"/>
    </row>
    <row r="640" spans="4:16" s="13" customFormat="1" ht="20.25" customHeight="1">
      <c r="D640" s="667"/>
      <c r="E640" s="667"/>
      <c r="G640" s="743"/>
      <c r="H640" s="743"/>
      <c r="I640" s="743"/>
      <c r="J640" s="743"/>
      <c r="K640" s="743"/>
      <c r="L640" s="743"/>
      <c r="M640" s="743"/>
      <c r="N640" s="744"/>
      <c r="O640" s="744"/>
      <c r="P640" s="744"/>
    </row>
    <row r="641" spans="4:16" s="13" customFormat="1" ht="20.25" customHeight="1">
      <c r="D641" s="667"/>
      <c r="E641" s="667"/>
      <c r="G641" s="743"/>
      <c r="H641" s="743"/>
      <c r="I641" s="743"/>
      <c r="J641" s="743"/>
      <c r="K641" s="743"/>
      <c r="L641" s="743"/>
      <c r="M641" s="743"/>
      <c r="N641" s="744"/>
      <c r="O641" s="744"/>
      <c r="P641" s="744"/>
    </row>
    <row r="642" spans="4:16" s="13" customFormat="1" ht="20.25" customHeight="1">
      <c r="D642" s="667"/>
      <c r="E642" s="667"/>
      <c r="G642" s="743"/>
      <c r="H642" s="743"/>
      <c r="I642" s="743"/>
      <c r="J642" s="743"/>
      <c r="K642" s="743"/>
      <c r="L642" s="743"/>
      <c r="M642" s="743"/>
      <c r="N642" s="744"/>
      <c r="O642" s="744"/>
      <c r="P642" s="744"/>
    </row>
    <row r="643" spans="4:16" s="13" customFormat="1" ht="20.25" customHeight="1">
      <c r="D643" s="667"/>
      <c r="E643" s="667"/>
      <c r="G643" s="743"/>
      <c r="H643" s="743"/>
      <c r="I643" s="743"/>
      <c r="J643" s="743"/>
      <c r="K643" s="743"/>
      <c r="L643" s="743"/>
      <c r="M643" s="743"/>
      <c r="N643" s="744"/>
      <c r="O643" s="744"/>
      <c r="P643" s="744"/>
    </row>
    <row r="644" spans="4:16" s="13" customFormat="1" ht="20.25" customHeight="1">
      <c r="D644" s="667"/>
      <c r="E644" s="667"/>
      <c r="G644" s="743"/>
      <c r="H644" s="743"/>
      <c r="I644" s="743"/>
      <c r="J644" s="743"/>
      <c r="K644" s="743"/>
      <c r="L644" s="743"/>
      <c r="M644" s="743"/>
      <c r="N644" s="744"/>
      <c r="O644" s="744"/>
      <c r="P644" s="744"/>
    </row>
    <row r="645" spans="4:16" s="13" customFormat="1" ht="20.25" customHeight="1">
      <c r="D645" s="667"/>
      <c r="E645" s="667"/>
      <c r="G645" s="743"/>
      <c r="H645" s="743"/>
      <c r="I645" s="743"/>
      <c r="J645" s="743"/>
      <c r="K645" s="743"/>
      <c r="L645" s="743"/>
      <c r="M645" s="743"/>
      <c r="N645" s="744"/>
      <c r="O645" s="744"/>
      <c r="P645" s="744"/>
    </row>
    <row r="646" spans="4:16" s="13" customFormat="1" ht="20.25" customHeight="1">
      <c r="D646" s="667"/>
      <c r="E646" s="667"/>
      <c r="G646" s="743"/>
      <c r="H646" s="743"/>
      <c r="I646" s="743"/>
      <c r="J646" s="743"/>
      <c r="K646" s="743"/>
      <c r="L646" s="743"/>
      <c r="M646" s="743"/>
      <c r="N646" s="744"/>
      <c r="O646" s="744"/>
      <c r="P646" s="744"/>
    </row>
    <row r="647" spans="4:16" s="13" customFormat="1" ht="20.25" customHeight="1">
      <c r="D647" s="667"/>
      <c r="E647" s="667"/>
      <c r="G647" s="743"/>
      <c r="H647" s="743"/>
      <c r="I647" s="743"/>
      <c r="J647" s="743"/>
      <c r="K647" s="743"/>
      <c r="L647" s="743"/>
      <c r="M647" s="743"/>
      <c r="N647" s="744"/>
      <c r="O647" s="744"/>
      <c r="P647" s="744"/>
    </row>
    <row r="648" spans="4:16" s="13" customFormat="1" ht="20.25" customHeight="1">
      <c r="D648" s="667"/>
      <c r="E648" s="667"/>
      <c r="G648" s="743"/>
      <c r="H648" s="743"/>
      <c r="I648" s="743"/>
      <c r="J648" s="743"/>
      <c r="K648" s="743"/>
      <c r="L648" s="743"/>
      <c r="M648" s="743"/>
      <c r="N648" s="744"/>
      <c r="O648" s="744"/>
      <c r="P648" s="744"/>
    </row>
    <row r="649" spans="4:16" s="13" customFormat="1" ht="20.25" customHeight="1">
      <c r="D649" s="667"/>
      <c r="E649" s="667"/>
      <c r="G649" s="743"/>
      <c r="H649" s="743"/>
      <c r="I649" s="743"/>
      <c r="J649" s="743"/>
      <c r="K649" s="743"/>
      <c r="L649" s="743"/>
      <c r="M649" s="743"/>
      <c r="N649" s="744"/>
      <c r="O649" s="744"/>
      <c r="P649" s="744"/>
    </row>
    <row r="650" spans="4:16" s="13" customFormat="1" ht="20.25" customHeight="1">
      <c r="D650" s="667"/>
      <c r="E650" s="667"/>
      <c r="G650" s="743"/>
      <c r="H650" s="743"/>
      <c r="I650" s="743"/>
      <c r="J650" s="743"/>
      <c r="K650" s="743"/>
      <c r="L650" s="743"/>
      <c r="M650" s="743"/>
      <c r="N650" s="744"/>
      <c r="O650" s="744"/>
      <c r="P650" s="744"/>
    </row>
    <row r="651" spans="4:16" s="13" customFormat="1" ht="20.25" customHeight="1">
      <c r="D651" s="667"/>
      <c r="E651" s="667"/>
      <c r="G651" s="743"/>
      <c r="H651" s="743"/>
      <c r="I651" s="743"/>
      <c r="J651" s="743"/>
      <c r="K651" s="743"/>
      <c r="L651" s="743"/>
      <c r="M651" s="743"/>
      <c r="N651" s="744"/>
      <c r="O651" s="744"/>
      <c r="P651" s="744"/>
    </row>
    <row r="652" spans="4:16" s="13" customFormat="1" ht="20.25" customHeight="1">
      <c r="D652" s="667"/>
      <c r="E652" s="667"/>
      <c r="G652" s="743"/>
      <c r="H652" s="743"/>
      <c r="I652" s="743"/>
      <c r="J652" s="743"/>
      <c r="K652" s="743"/>
      <c r="L652" s="743"/>
      <c r="M652" s="743"/>
      <c r="N652" s="744"/>
      <c r="O652" s="744"/>
      <c r="P652" s="744"/>
    </row>
    <row r="653" spans="4:16" s="13" customFormat="1" ht="20.25" customHeight="1">
      <c r="D653" s="667"/>
      <c r="E653" s="667"/>
      <c r="G653" s="743"/>
      <c r="H653" s="743"/>
      <c r="I653" s="743"/>
      <c r="J653" s="743"/>
      <c r="K653" s="743"/>
      <c r="L653" s="743"/>
      <c r="M653" s="743"/>
      <c r="N653" s="744"/>
      <c r="O653" s="744"/>
      <c r="P653" s="744"/>
    </row>
    <row r="654" spans="4:16" s="13" customFormat="1" ht="20.25" customHeight="1">
      <c r="D654" s="667"/>
      <c r="E654" s="667"/>
      <c r="G654" s="743"/>
      <c r="H654" s="743"/>
      <c r="I654" s="743"/>
      <c r="J654" s="743"/>
      <c r="K654" s="743"/>
      <c r="L654" s="743"/>
      <c r="M654" s="743"/>
      <c r="N654" s="744"/>
      <c r="O654" s="744"/>
      <c r="P654" s="744"/>
    </row>
    <row r="655" spans="4:16" s="13" customFormat="1" ht="20.25" customHeight="1">
      <c r="D655" s="667"/>
      <c r="E655" s="667"/>
      <c r="G655" s="743"/>
      <c r="H655" s="743"/>
      <c r="I655" s="743"/>
      <c r="J655" s="743"/>
      <c r="K655" s="743"/>
      <c r="L655" s="743"/>
      <c r="M655" s="743"/>
      <c r="N655" s="744"/>
      <c r="O655" s="744"/>
      <c r="P655" s="744"/>
    </row>
    <row r="656" spans="4:16" s="13" customFormat="1" ht="20.25" customHeight="1">
      <c r="D656" s="667"/>
      <c r="E656" s="667"/>
      <c r="G656" s="743"/>
      <c r="H656" s="743"/>
      <c r="I656" s="743"/>
      <c r="J656" s="743"/>
      <c r="K656" s="743"/>
      <c r="L656" s="743"/>
      <c r="M656" s="743"/>
      <c r="N656" s="744"/>
      <c r="O656" s="744"/>
      <c r="P656" s="744"/>
    </row>
    <row r="657" spans="4:16" s="13" customFormat="1" ht="20.25" customHeight="1">
      <c r="D657" s="667"/>
      <c r="E657" s="667"/>
      <c r="G657" s="743"/>
      <c r="H657" s="743"/>
      <c r="I657" s="743"/>
      <c r="J657" s="743"/>
      <c r="K657" s="743"/>
      <c r="L657" s="743"/>
      <c r="M657" s="743"/>
      <c r="N657" s="744"/>
      <c r="O657" s="744"/>
      <c r="P657" s="744"/>
    </row>
    <row r="658" spans="4:16" s="13" customFormat="1" ht="20.25" customHeight="1">
      <c r="D658" s="667"/>
      <c r="E658" s="667"/>
      <c r="G658" s="743"/>
      <c r="H658" s="743"/>
      <c r="I658" s="743"/>
      <c r="J658" s="743"/>
      <c r="K658" s="743"/>
      <c r="L658" s="743"/>
      <c r="M658" s="743"/>
      <c r="N658" s="744"/>
      <c r="O658" s="744"/>
      <c r="P658" s="744"/>
    </row>
    <row r="659" spans="4:16" s="13" customFormat="1" ht="20.25" customHeight="1">
      <c r="D659" s="667"/>
      <c r="E659" s="667"/>
      <c r="G659" s="743"/>
      <c r="H659" s="743"/>
      <c r="I659" s="743"/>
      <c r="J659" s="743"/>
      <c r="K659" s="743"/>
      <c r="L659" s="743"/>
      <c r="M659" s="743"/>
      <c r="N659" s="744"/>
      <c r="O659" s="744"/>
      <c r="P659" s="744"/>
    </row>
    <row r="660" spans="4:16" s="13" customFormat="1" ht="20.25" customHeight="1">
      <c r="D660" s="667"/>
      <c r="E660" s="667"/>
      <c r="G660" s="743"/>
      <c r="H660" s="743"/>
      <c r="I660" s="743"/>
      <c r="J660" s="743"/>
      <c r="K660" s="743"/>
      <c r="L660" s="743"/>
      <c r="M660" s="743"/>
      <c r="N660" s="744"/>
      <c r="O660" s="744"/>
      <c r="P660" s="744"/>
    </row>
    <row r="661" spans="4:16" s="13" customFormat="1" ht="20.25" customHeight="1">
      <c r="D661" s="667"/>
      <c r="E661" s="667"/>
      <c r="G661" s="743"/>
      <c r="H661" s="743"/>
      <c r="I661" s="743"/>
      <c r="J661" s="743"/>
      <c r="K661" s="743"/>
      <c r="L661" s="743"/>
      <c r="M661" s="743"/>
      <c r="N661" s="744"/>
      <c r="O661" s="744"/>
      <c r="P661" s="744"/>
    </row>
    <row r="662" spans="4:16" s="13" customFormat="1" ht="20.25" customHeight="1">
      <c r="D662" s="667"/>
      <c r="E662" s="667"/>
      <c r="G662" s="743"/>
      <c r="H662" s="743"/>
      <c r="I662" s="743"/>
      <c r="J662" s="743"/>
      <c r="K662" s="743"/>
      <c r="L662" s="743"/>
      <c r="M662" s="743"/>
      <c r="N662" s="744"/>
      <c r="O662" s="744"/>
      <c r="P662" s="744"/>
    </row>
    <row r="663" spans="4:16" s="13" customFormat="1" ht="20.25" customHeight="1">
      <c r="D663" s="667"/>
      <c r="E663" s="667"/>
      <c r="G663" s="743"/>
      <c r="H663" s="743"/>
      <c r="I663" s="743"/>
      <c r="J663" s="743"/>
      <c r="K663" s="743"/>
      <c r="L663" s="743"/>
      <c r="M663" s="743"/>
      <c r="N663" s="744"/>
      <c r="O663" s="744"/>
      <c r="P663" s="744"/>
    </row>
    <row r="664" spans="4:16" s="13" customFormat="1" ht="20.25" customHeight="1">
      <c r="D664" s="667"/>
      <c r="E664" s="667"/>
      <c r="G664" s="743"/>
      <c r="H664" s="743"/>
      <c r="I664" s="743"/>
      <c r="J664" s="743"/>
      <c r="K664" s="743"/>
      <c r="L664" s="743"/>
      <c r="M664" s="743"/>
      <c r="N664" s="744"/>
      <c r="O664" s="744"/>
      <c r="P664" s="744"/>
    </row>
    <row r="665" spans="4:16" s="13" customFormat="1" ht="20.25" customHeight="1">
      <c r="D665" s="667"/>
      <c r="E665" s="667"/>
      <c r="G665" s="743"/>
      <c r="H665" s="743"/>
      <c r="I665" s="743"/>
      <c r="J665" s="743"/>
      <c r="K665" s="743"/>
      <c r="L665" s="743"/>
      <c r="M665" s="743"/>
      <c r="N665" s="744"/>
      <c r="O665" s="744"/>
      <c r="P665" s="744"/>
    </row>
    <row r="666" spans="4:16" s="13" customFormat="1" ht="20.25" customHeight="1">
      <c r="D666" s="667"/>
      <c r="E666" s="667"/>
      <c r="G666" s="743"/>
      <c r="H666" s="743"/>
      <c r="I666" s="743"/>
      <c r="J666" s="743"/>
      <c r="K666" s="743"/>
      <c r="L666" s="743"/>
      <c r="M666" s="743"/>
      <c r="N666" s="744"/>
      <c r="O666" s="744"/>
      <c r="P666" s="744"/>
    </row>
    <row r="667" spans="4:16" s="13" customFormat="1" ht="20.25" customHeight="1">
      <c r="D667" s="667"/>
      <c r="E667" s="667"/>
      <c r="G667" s="743"/>
      <c r="H667" s="743"/>
      <c r="I667" s="743"/>
      <c r="J667" s="743"/>
      <c r="K667" s="743"/>
      <c r="L667" s="743"/>
      <c r="M667" s="743"/>
      <c r="N667" s="744"/>
      <c r="O667" s="744"/>
      <c r="P667" s="744"/>
    </row>
    <row r="668" spans="4:16" s="13" customFormat="1" ht="20.25" customHeight="1">
      <c r="D668" s="667"/>
      <c r="E668" s="667"/>
      <c r="G668" s="743"/>
      <c r="H668" s="743"/>
      <c r="I668" s="743"/>
      <c r="J668" s="743"/>
      <c r="K668" s="743"/>
      <c r="L668" s="743"/>
      <c r="M668" s="743"/>
      <c r="N668" s="744"/>
      <c r="O668" s="744"/>
      <c r="P668" s="744"/>
    </row>
    <row r="669" spans="4:16" s="13" customFormat="1" ht="20.25" customHeight="1">
      <c r="D669" s="667"/>
      <c r="E669" s="667"/>
      <c r="G669" s="743"/>
      <c r="H669" s="743"/>
      <c r="I669" s="743"/>
      <c r="J669" s="743"/>
      <c r="K669" s="743"/>
      <c r="L669" s="743"/>
      <c r="M669" s="743"/>
      <c r="N669" s="744"/>
      <c r="O669" s="744"/>
      <c r="P669" s="744"/>
    </row>
    <row r="670" spans="4:16" s="13" customFormat="1" ht="20.25" customHeight="1">
      <c r="D670" s="667"/>
      <c r="E670" s="667"/>
      <c r="G670" s="743"/>
      <c r="H670" s="743"/>
      <c r="I670" s="743"/>
      <c r="J670" s="743"/>
      <c r="K670" s="743"/>
      <c r="L670" s="743"/>
      <c r="M670" s="743"/>
      <c r="N670" s="744"/>
      <c r="O670" s="744"/>
      <c r="P670" s="744"/>
    </row>
    <row r="671" spans="4:16" s="13" customFormat="1" ht="20.25" customHeight="1">
      <c r="D671" s="667"/>
      <c r="E671" s="667"/>
      <c r="G671" s="743"/>
      <c r="H671" s="743"/>
      <c r="I671" s="743"/>
      <c r="J671" s="743"/>
      <c r="K671" s="743"/>
      <c r="L671" s="743"/>
      <c r="M671" s="743"/>
      <c r="N671" s="744"/>
      <c r="O671" s="744"/>
      <c r="P671" s="744"/>
    </row>
    <row r="672" spans="4:16" s="13" customFormat="1" ht="20.25" customHeight="1">
      <c r="D672" s="667"/>
      <c r="E672" s="667"/>
      <c r="G672" s="743"/>
      <c r="H672" s="743"/>
      <c r="I672" s="743"/>
      <c r="J672" s="743"/>
      <c r="K672" s="743"/>
      <c r="L672" s="743"/>
      <c r="M672" s="743"/>
      <c r="N672" s="744"/>
      <c r="O672" s="744"/>
      <c r="P672" s="744"/>
    </row>
    <row r="673" spans="4:16" s="13" customFormat="1" ht="20.25" customHeight="1">
      <c r="D673" s="667"/>
      <c r="E673" s="667"/>
      <c r="G673" s="743"/>
      <c r="H673" s="743"/>
      <c r="I673" s="743"/>
      <c r="J673" s="743"/>
      <c r="K673" s="743"/>
      <c r="L673" s="743"/>
      <c r="M673" s="743"/>
      <c r="N673" s="744"/>
      <c r="O673" s="744"/>
      <c r="P673" s="744"/>
    </row>
    <row r="674" spans="4:16" s="13" customFormat="1" ht="20.25" customHeight="1">
      <c r="D674" s="667"/>
      <c r="E674" s="667"/>
      <c r="G674" s="743"/>
      <c r="H674" s="743"/>
      <c r="I674" s="743"/>
      <c r="J674" s="743"/>
      <c r="K674" s="743"/>
      <c r="L674" s="743"/>
      <c r="M674" s="743"/>
      <c r="N674" s="744"/>
      <c r="O674" s="744"/>
      <c r="P674" s="744"/>
    </row>
    <row r="675" spans="4:16" s="13" customFormat="1" ht="20.25" customHeight="1">
      <c r="D675" s="667"/>
      <c r="E675" s="667"/>
      <c r="G675" s="743"/>
      <c r="H675" s="743"/>
      <c r="I675" s="743"/>
      <c r="J675" s="743"/>
      <c r="K675" s="743"/>
      <c r="L675" s="743"/>
      <c r="M675" s="743"/>
      <c r="N675" s="744"/>
      <c r="O675" s="744"/>
      <c r="P675" s="744"/>
    </row>
    <row r="676" spans="4:16" s="13" customFormat="1" ht="20.25" customHeight="1">
      <c r="D676" s="667"/>
      <c r="E676" s="667"/>
      <c r="G676" s="743"/>
      <c r="H676" s="743"/>
      <c r="I676" s="743"/>
      <c r="J676" s="743"/>
      <c r="K676" s="743"/>
      <c r="L676" s="743"/>
      <c r="M676" s="743"/>
      <c r="N676" s="744"/>
      <c r="O676" s="744"/>
      <c r="P676" s="744"/>
    </row>
    <row r="677" spans="4:16" s="13" customFormat="1" ht="20.25" customHeight="1">
      <c r="D677" s="667"/>
      <c r="E677" s="667"/>
      <c r="G677" s="743"/>
      <c r="H677" s="743"/>
      <c r="I677" s="743"/>
      <c r="J677" s="743"/>
      <c r="K677" s="743"/>
      <c r="L677" s="743"/>
      <c r="M677" s="743"/>
      <c r="N677" s="744"/>
      <c r="O677" s="744"/>
      <c r="P677" s="744"/>
    </row>
    <row r="678" spans="4:16" s="13" customFormat="1" ht="20.25" customHeight="1">
      <c r="D678" s="667"/>
      <c r="E678" s="667"/>
      <c r="G678" s="743"/>
      <c r="H678" s="743"/>
      <c r="I678" s="743"/>
      <c r="J678" s="743"/>
      <c r="K678" s="743"/>
      <c r="L678" s="743"/>
      <c r="M678" s="743"/>
      <c r="N678" s="744"/>
      <c r="O678" s="744"/>
      <c r="P678" s="744"/>
    </row>
    <row r="679" spans="4:16" s="13" customFormat="1" ht="20.25" customHeight="1">
      <c r="D679" s="667"/>
      <c r="E679" s="667"/>
      <c r="G679" s="743"/>
      <c r="H679" s="743"/>
      <c r="I679" s="743"/>
      <c r="J679" s="743"/>
      <c r="K679" s="743"/>
      <c r="L679" s="743"/>
      <c r="M679" s="743"/>
      <c r="N679" s="744"/>
      <c r="O679" s="744"/>
      <c r="P679" s="744"/>
    </row>
    <row r="680" spans="4:16" s="13" customFormat="1" ht="20.25" customHeight="1">
      <c r="D680" s="667"/>
      <c r="E680" s="667"/>
      <c r="G680" s="743"/>
      <c r="H680" s="743"/>
      <c r="I680" s="743"/>
      <c r="J680" s="743"/>
      <c r="K680" s="743"/>
      <c r="L680" s="743"/>
      <c r="M680" s="743"/>
      <c r="N680" s="744"/>
      <c r="O680" s="744"/>
      <c r="P680" s="744"/>
    </row>
    <row r="681" spans="4:16" s="13" customFormat="1" ht="20.25" customHeight="1">
      <c r="D681" s="667"/>
      <c r="E681" s="667"/>
      <c r="G681" s="743"/>
      <c r="H681" s="743"/>
      <c r="I681" s="743"/>
      <c r="J681" s="743"/>
      <c r="K681" s="743"/>
      <c r="L681" s="743"/>
      <c r="M681" s="743"/>
      <c r="N681" s="744"/>
      <c r="O681" s="744"/>
      <c r="P681" s="744"/>
    </row>
    <row r="682" spans="4:16" s="13" customFormat="1" ht="20.25" customHeight="1">
      <c r="D682" s="667"/>
      <c r="E682" s="667"/>
      <c r="G682" s="743"/>
      <c r="H682" s="743"/>
      <c r="I682" s="743"/>
      <c r="J682" s="743"/>
      <c r="K682" s="743"/>
      <c r="L682" s="743"/>
      <c r="M682" s="743"/>
      <c r="N682" s="744"/>
      <c r="O682" s="744"/>
      <c r="P682" s="744"/>
    </row>
    <row r="683" spans="4:16" s="13" customFormat="1" ht="20.25" customHeight="1">
      <c r="D683" s="667"/>
      <c r="E683" s="667"/>
      <c r="G683" s="743"/>
      <c r="H683" s="743"/>
      <c r="I683" s="743"/>
      <c r="J683" s="743"/>
      <c r="K683" s="743"/>
      <c r="L683" s="743"/>
      <c r="M683" s="743"/>
      <c r="N683" s="744"/>
      <c r="O683" s="744"/>
      <c r="P683" s="744"/>
    </row>
    <row r="684" spans="4:16" s="13" customFormat="1" ht="20.25" customHeight="1">
      <c r="D684" s="667"/>
      <c r="E684" s="667"/>
      <c r="G684" s="743"/>
      <c r="H684" s="743"/>
      <c r="I684" s="743"/>
      <c r="J684" s="743"/>
      <c r="K684" s="743"/>
      <c r="L684" s="743"/>
      <c r="M684" s="743"/>
      <c r="N684" s="744"/>
      <c r="O684" s="744"/>
      <c r="P684" s="744"/>
    </row>
    <row r="685" spans="4:16" s="13" customFormat="1" ht="20.25" customHeight="1">
      <c r="D685" s="667"/>
      <c r="E685" s="667"/>
      <c r="G685" s="743"/>
      <c r="H685" s="743"/>
      <c r="I685" s="743"/>
      <c r="J685" s="743"/>
      <c r="K685" s="743"/>
      <c r="L685" s="743"/>
      <c r="M685" s="743"/>
      <c r="N685" s="744"/>
      <c r="O685" s="744"/>
      <c r="P685" s="744"/>
    </row>
    <row r="686" spans="4:16" s="13" customFormat="1" ht="20.25" customHeight="1">
      <c r="D686" s="667"/>
      <c r="E686" s="667"/>
      <c r="G686" s="743"/>
      <c r="H686" s="743"/>
      <c r="I686" s="743"/>
      <c r="J686" s="743"/>
      <c r="K686" s="743"/>
      <c r="L686" s="743"/>
      <c r="M686" s="743"/>
      <c r="N686" s="744"/>
      <c r="O686" s="744"/>
      <c r="P686" s="744"/>
    </row>
    <row r="687" spans="4:16" s="13" customFormat="1" ht="20.25" customHeight="1">
      <c r="D687" s="667"/>
      <c r="E687" s="667"/>
      <c r="G687" s="743"/>
      <c r="H687" s="743"/>
      <c r="I687" s="743"/>
      <c r="J687" s="743"/>
      <c r="K687" s="743"/>
      <c r="L687" s="743"/>
      <c r="M687" s="743"/>
      <c r="N687" s="744"/>
      <c r="O687" s="744"/>
      <c r="P687" s="744"/>
    </row>
    <row r="688" spans="4:16" s="13" customFormat="1" ht="20.25" customHeight="1">
      <c r="D688" s="667"/>
      <c r="E688" s="667"/>
      <c r="G688" s="743"/>
      <c r="H688" s="743"/>
      <c r="I688" s="743"/>
      <c r="J688" s="743"/>
      <c r="K688" s="743"/>
      <c r="L688" s="743"/>
      <c r="M688" s="743"/>
      <c r="N688" s="744"/>
      <c r="O688" s="744"/>
      <c r="P688" s="744"/>
    </row>
    <row r="689" spans="4:16" s="13" customFormat="1" ht="20.25" customHeight="1">
      <c r="D689" s="667"/>
      <c r="E689" s="667"/>
      <c r="G689" s="743"/>
      <c r="H689" s="743"/>
      <c r="I689" s="743"/>
      <c r="J689" s="743"/>
      <c r="K689" s="743"/>
      <c r="L689" s="743"/>
      <c r="M689" s="743"/>
      <c r="N689" s="744"/>
      <c r="O689" s="744"/>
      <c r="P689" s="744"/>
    </row>
    <row r="690" spans="4:16" s="13" customFormat="1" ht="20.25" customHeight="1">
      <c r="D690" s="667"/>
      <c r="E690" s="667"/>
      <c r="G690" s="743"/>
      <c r="H690" s="743"/>
      <c r="I690" s="743"/>
      <c r="J690" s="743"/>
      <c r="K690" s="743"/>
      <c r="L690" s="743"/>
      <c r="M690" s="743"/>
      <c r="N690" s="744"/>
      <c r="O690" s="744"/>
      <c r="P690" s="744"/>
    </row>
    <row r="691" spans="4:16" s="13" customFormat="1" ht="20.25" customHeight="1">
      <c r="D691" s="667"/>
      <c r="E691" s="667"/>
      <c r="G691" s="743"/>
      <c r="H691" s="743"/>
      <c r="I691" s="743"/>
      <c r="J691" s="743"/>
      <c r="K691" s="743"/>
      <c r="L691" s="743"/>
      <c r="M691" s="743"/>
      <c r="N691" s="744"/>
      <c r="O691" s="744"/>
      <c r="P691" s="744"/>
    </row>
    <row r="692" spans="4:16" s="13" customFormat="1" ht="20.25" customHeight="1">
      <c r="D692" s="667"/>
      <c r="E692" s="667"/>
      <c r="G692" s="743"/>
      <c r="H692" s="743"/>
      <c r="I692" s="743"/>
      <c r="J692" s="743"/>
      <c r="K692" s="743"/>
      <c r="L692" s="743"/>
      <c r="M692" s="743"/>
      <c r="N692" s="744"/>
      <c r="O692" s="744"/>
      <c r="P692" s="744"/>
    </row>
    <row r="693" spans="4:16" s="13" customFormat="1" ht="20.25" customHeight="1">
      <c r="D693" s="667"/>
      <c r="E693" s="667"/>
      <c r="G693" s="743"/>
      <c r="H693" s="743"/>
      <c r="I693" s="743"/>
      <c r="J693" s="743"/>
      <c r="K693" s="743"/>
      <c r="L693" s="743"/>
      <c r="M693" s="743"/>
      <c r="N693" s="744"/>
      <c r="O693" s="744"/>
      <c r="P693" s="744"/>
    </row>
    <row r="694" spans="4:16" s="13" customFormat="1" ht="20.25" customHeight="1">
      <c r="D694" s="667"/>
      <c r="E694" s="667"/>
      <c r="G694" s="743"/>
      <c r="H694" s="743"/>
      <c r="I694" s="743"/>
      <c r="J694" s="743"/>
      <c r="K694" s="743"/>
      <c r="L694" s="743"/>
      <c r="M694" s="743"/>
      <c r="N694" s="744"/>
      <c r="O694" s="744"/>
      <c r="P694" s="744"/>
    </row>
    <row r="695" spans="4:16" s="13" customFormat="1" ht="20.25" customHeight="1">
      <c r="D695" s="667"/>
      <c r="E695" s="667"/>
      <c r="G695" s="743"/>
      <c r="H695" s="743"/>
      <c r="I695" s="743"/>
      <c r="J695" s="743"/>
      <c r="K695" s="743"/>
      <c r="L695" s="743"/>
      <c r="M695" s="743"/>
      <c r="N695" s="744"/>
      <c r="O695" s="744"/>
      <c r="P695" s="744"/>
    </row>
    <row r="696" spans="4:16" s="13" customFormat="1" ht="20.25" customHeight="1">
      <c r="D696" s="667"/>
      <c r="E696" s="667"/>
      <c r="G696" s="743"/>
      <c r="H696" s="743"/>
      <c r="I696" s="743"/>
      <c r="J696" s="743"/>
      <c r="K696" s="743"/>
      <c r="L696" s="743"/>
      <c r="M696" s="743"/>
      <c r="N696" s="744"/>
      <c r="O696" s="744"/>
      <c r="P696" s="744"/>
    </row>
    <row r="697" spans="4:16" s="13" customFormat="1" ht="20.25" customHeight="1">
      <c r="D697" s="667"/>
      <c r="E697" s="667"/>
      <c r="G697" s="743"/>
      <c r="H697" s="743"/>
      <c r="I697" s="743"/>
      <c r="J697" s="743"/>
      <c r="K697" s="743"/>
      <c r="L697" s="743"/>
      <c r="M697" s="743"/>
      <c r="N697" s="744"/>
      <c r="O697" s="744"/>
      <c r="P697" s="744"/>
    </row>
    <row r="698" spans="4:16" s="13" customFormat="1" ht="20.25" customHeight="1">
      <c r="D698" s="667"/>
      <c r="E698" s="667"/>
      <c r="G698" s="743"/>
      <c r="H698" s="743"/>
      <c r="I698" s="743"/>
      <c r="J698" s="743"/>
      <c r="K698" s="743"/>
      <c r="L698" s="743"/>
      <c r="M698" s="743"/>
      <c r="N698" s="744"/>
      <c r="O698" s="744"/>
      <c r="P698" s="744"/>
    </row>
    <row r="699" spans="4:16" s="13" customFormat="1" ht="20.25" customHeight="1">
      <c r="D699" s="667"/>
      <c r="E699" s="667"/>
      <c r="G699" s="743"/>
      <c r="H699" s="743"/>
      <c r="I699" s="743"/>
      <c r="J699" s="743"/>
      <c r="K699" s="743"/>
      <c r="L699" s="743"/>
      <c r="M699" s="743"/>
      <c r="N699" s="744"/>
      <c r="O699" s="744"/>
      <c r="P699" s="744"/>
    </row>
    <row r="700" spans="4:16" s="13" customFormat="1" ht="20.25" customHeight="1">
      <c r="D700" s="667"/>
      <c r="E700" s="667"/>
      <c r="G700" s="743"/>
      <c r="H700" s="743"/>
      <c r="I700" s="743"/>
      <c r="J700" s="743"/>
      <c r="K700" s="743"/>
      <c r="L700" s="743"/>
      <c r="M700" s="743"/>
      <c r="N700" s="744"/>
      <c r="O700" s="744"/>
      <c r="P700" s="744"/>
    </row>
    <row r="701" spans="4:16" s="13" customFormat="1" ht="20.25" customHeight="1">
      <c r="D701" s="667"/>
      <c r="E701" s="667"/>
      <c r="G701" s="743"/>
      <c r="H701" s="743"/>
      <c r="I701" s="743"/>
      <c r="J701" s="743"/>
      <c r="K701" s="743"/>
      <c r="L701" s="743"/>
      <c r="M701" s="743"/>
      <c r="N701" s="744"/>
      <c r="O701" s="744"/>
      <c r="P701" s="744"/>
    </row>
    <row r="702" spans="4:16" s="13" customFormat="1" ht="20.25" customHeight="1">
      <c r="D702" s="667"/>
      <c r="E702" s="667"/>
      <c r="G702" s="743"/>
      <c r="H702" s="743"/>
      <c r="I702" s="743"/>
      <c r="J702" s="743"/>
      <c r="K702" s="743"/>
      <c r="L702" s="743"/>
      <c r="M702" s="743"/>
      <c r="N702" s="744"/>
      <c r="O702" s="744"/>
      <c r="P702" s="744"/>
    </row>
    <row r="703" spans="4:16" s="13" customFormat="1" ht="20.25" customHeight="1">
      <c r="D703" s="667"/>
      <c r="E703" s="667"/>
      <c r="G703" s="743"/>
      <c r="H703" s="743"/>
      <c r="I703" s="743"/>
      <c r="J703" s="743"/>
      <c r="K703" s="743"/>
      <c r="L703" s="743"/>
      <c r="M703" s="743"/>
      <c r="N703" s="744"/>
      <c r="O703" s="744"/>
      <c r="P703" s="744"/>
    </row>
    <row r="704" spans="4:16" s="13" customFormat="1" ht="20.25" customHeight="1">
      <c r="D704" s="667"/>
      <c r="E704" s="667"/>
      <c r="G704" s="743"/>
      <c r="H704" s="743"/>
      <c r="I704" s="743"/>
      <c r="J704" s="743"/>
      <c r="K704" s="743"/>
      <c r="L704" s="743"/>
      <c r="M704" s="743"/>
      <c r="N704" s="744"/>
      <c r="O704" s="744"/>
      <c r="P704" s="744"/>
    </row>
    <row r="705" spans="4:16" s="13" customFormat="1" ht="20.25" customHeight="1">
      <c r="D705" s="667"/>
      <c r="E705" s="667"/>
      <c r="G705" s="743"/>
      <c r="H705" s="743"/>
      <c r="I705" s="743"/>
      <c r="J705" s="743"/>
      <c r="K705" s="743"/>
      <c r="L705" s="743"/>
      <c r="M705" s="743"/>
      <c r="N705" s="744"/>
      <c r="O705" s="744"/>
      <c r="P705" s="744"/>
    </row>
    <row r="706" spans="4:16" s="13" customFormat="1" ht="20.25" customHeight="1">
      <c r="D706" s="667"/>
      <c r="E706" s="667"/>
      <c r="G706" s="743"/>
      <c r="H706" s="743"/>
      <c r="I706" s="743"/>
      <c r="J706" s="743"/>
      <c r="K706" s="743"/>
      <c r="L706" s="743"/>
      <c r="M706" s="743"/>
      <c r="N706" s="744"/>
      <c r="O706" s="744"/>
      <c r="P706" s="744"/>
    </row>
    <row r="707" spans="4:16" s="13" customFormat="1" ht="20.25" customHeight="1">
      <c r="D707" s="667"/>
      <c r="E707" s="667"/>
      <c r="G707" s="743"/>
      <c r="H707" s="743"/>
      <c r="I707" s="743"/>
      <c r="J707" s="743"/>
      <c r="K707" s="743"/>
      <c r="L707" s="743"/>
      <c r="M707" s="743"/>
      <c r="N707" s="744"/>
      <c r="O707" s="744"/>
      <c r="P707" s="744"/>
    </row>
    <row r="708" spans="4:16" s="13" customFormat="1" ht="20.25" customHeight="1">
      <c r="D708" s="667"/>
      <c r="E708" s="667"/>
      <c r="G708" s="743"/>
      <c r="H708" s="743"/>
      <c r="I708" s="743"/>
      <c r="J708" s="743"/>
      <c r="K708" s="743"/>
      <c r="L708" s="743"/>
      <c r="M708" s="743"/>
      <c r="N708" s="744"/>
      <c r="O708" s="744"/>
      <c r="P708" s="744"/>
    </row>
    <row r="709" spans="4:16" s="13" customFormat="1" ht="20.25" customHeight="1">
      <c r="D709" s="667"/>
      <c r="E709" s="667"/>
      <c r="G709" s="743"/>
      <c r="H709" s="743"/>
      <c r="I709" s="743"/>
      <c r="J709" s="743"/>
      <c r="K709" s="743"/>
      <c r="L709" s="743"/>
      <c r="M709" s="743"/>
      <c r="N709" s="744"/>
      <c r="O709" s="744"/>
      <c r="P709" s="744"/>
    </row>
    <row r="710" spans="4:16" s="13" customFormat="1" ht="20.25" customHeight="1">
      <c r="D710" s="667"/>
      <c r="E710" s="667"/>
      <c r="G710" s="743"/>
      <c r="H710" s="743"/>
      <c r="I710" s="743"/>
      <c r="J710" s="743"/>
      <c r="K710" s="743"/>
      <c r="L710" s="743"/>
      <c r="M710" s="743"/>
      <c r="N710" s="744"/>
      <c r="O710" s="744"/>
      <c r="P710" s="744"/>
    </row>
    <row r="711" spans="4:16" s="13" customFormat="1" ht="20.25" customHeight="1">
      <c r="D711" s="667"/>
      <c r="E711" s="667"/>
      <c r="G711" s="743"/>
      <c r="H711" s="743"/>
      <c r="I711" s="743"/>
      <c r="J711" s="743"/>
      <c r="K711" s="743"/>
      <c r="L711" s="743"/>
      <c r="M711" s="743"/>
      <c r="N711" s="744"/>
      <c r="O711" s="744"/>
      <c r="P711" s="744"/>
    </row>
    <row r="712" spans="4:16" s="13" customFormat="1" ht="20.25" customHeight="1">
      <c r="D712" s="667"/>
      <c r="E712" s="667"/>
      <c r="G712" s="743"/>
      <c r="H712" s="743"/>
      <c r="I712" s="743"/>
      <c r="J712" s="743"/>
      <c r="K712" s="743"/>
      <c r="L712" s="743"/>
      <c r="M712" s="743"/>
      <c r="N712" s="744"/>
      <c r="O712" s="744"/>
      <c r="P712" s="744"/>
    </row>
    <row r="713" spans="4:16" s="13" customFormat="1" ht="20.25" customHeight="1">
      <c r="D713" s="667"/>
      <c r="E713" s="667"/>
      <c r="G713" s="743"/>
      <c r="H713" s="743"/>
      <c r="I713" s="743"/>
      <c r="J713" s="743"/>
      <c r="K713" s="743"/>
      <c r="L713" s="743"/>
      <c r="M713" s="743"/>
      <c r="N713" s="744"/>
      <c r="O713" s="744"/>
      <c r="P713" s="744"/>
    </row>
    <row r="714" spans="4:16" s="13" customFormat="1" ht="20.25" customHeight="1">
      <c r="D714" s="667"/>
      <c r="E714" s="667"/>
      <c r="G714" s="743"/>
      <c r="H714" s="743"/>
      <c r="I714" s="743"/>
      <c r="J714" s="743"/>
      <c r="K714" s="743"/>
      <c r="L714" s="743"/>
      <c r="M714" s="743"/>
      <c r="N714" s="744"/>
      <c r="O714" s="744"/>
      <c r="P714" s="744"/>
    </row>
    <row r="715" spans="4:16" s="13" customFormat="1" ht="20.25" customHeight="1">
      <c r="D715" s="667"/>
      <c r="E715" s="667"/>
      <c r="G715" s="743"/>
      <c r="H715" s="743"/>
      <c r="I715" s="743"/>
      <c r="J715" s="743"/>
      <c r="K715" s="743"/>
      <c r="L715" s="743"/>
      <c r="M715" s="743"/>
      <c r="N715" s="744"/>
      <c r="O715" s="744"/>
      <c r="P715" s="744"/>
    </row>
    <row r="716" spans="4:16" s="13" customFormat="1" ht="20.25" customHeight="1">
      <c r="D716" s="667"/>
      <c r="E716" s="667"/>
      <c r="G716" s="743"/>
      <c r="H716" s="743"/>
      <c r="I716" s="743"/>
      <c r="J716" s="743"/>
      <c r="K716" s="743"/>
      <c r="L716" s="743"/>
      <c r="M716" s="743"/>
      <c r="N716" s="744"/>
      <c r="O716" s="744"/>
      <c r="P716" s="744"/>
    </row>
    <row r="717" spans="4:16" s="13" customFormat="1" ht="20.25" customHeight="1">
      <c r="D717" s="667"/>
      <c r="E717" s="667"/>
      <c r="G717" s="743"/>
      <c r="H717" s="743"/>
      <c r="I717" s="743"/>
      <c r="J717" s="743"/>
      <c r="K717" s="743"/>
      <c r="L717" s="743"/>
      <c r="M717" s="743"/>
      <c r="N717" s="744"/>
      <c r="O717" s="744"/>
      <c r="P717" s="744"/>
    </row>
    <row r="718" spans="4:16" s="13" customFormat="1" ht="20.25" customHeight="1">
      <c r="D718" s="667"/>
      <c r="E718" s="667"/>
      <c r="G718" s="743"/>
      <c r="H718" s="743"/>
      <c r="I718" s="743"/>
      <c r="J718" s="743"/>
      <c r="K718" s="743"/>
      <c r="L718" s="743"/>
      <c r="M718" s="743"/>
      <c r="N718" s="744"/>
      <c r="O718" s="744"/>
      <c r="P718" s="744"/>
    </row>
    <row r="719" spans="4:16" s="13" customFormat="1" ht="20.25" customHeight="1">
      <c r="D719" s="667"/>
      <c r="E719" s="667"/>
      <c r="G719" s="743"/>
      <c r="H719" s="743"/>
      <c r="I719" s="743"/>
      <c r="J719" s="743"/>
      <c r="K719" s="743"/>
      <c r="L719" s="743"/>
      <c r="M719" s="743"/>
      <c r="N719" s="744"/>
      <c r="O719" s="744"/>
      <c r="P719" s="744"/>
    </row>
    <row r="720" spans="4:16" s="13" customFormat="1" ht="20.25" customHeight="1">
      <c r="D720" s="667"/>
      <c r="E720" s="667"/>
      <c r="G720" s="743"/>
      <c r="H720" s="743"/>
      <c r="I720" s="743"/>
      <c r="J720" s="743"/>
      <c r="K720" s="743"/>
      <c r="L720" s="743"/>
      <c r="M720" s="743"/>
      <c r="N720" s="744"/>
      <c r="O720" s="744"/>
      <c r="P720" s="744"/>
    </row>
    <row r="721" spans="4:16" s="13" customFormat="1" ht="20.25" customHeight="1">
      <c r="D721" s="667"/>
      <c r="E721" s="667"/>
      <c r="G721" s="743"/>
      <c r="H721" s="743"/>
      <c r="I721" s="743"/>
      <c r="J721" s="743"/>
      <c r="K721" s="743"/>
      <c r="L721" s="743"/>
      <c r="M721" s="743"/>
      <c r="N721" s="744"/>
      <c r="O721" s="744"/>
      <c r="P721" s="744"/>
    </row>
    <row r="722" spans="4:16" s="13" customFormat="1" ht="20.25" customHeight="1">
      <c r="D722" s="667"/>
      <c r="E722" s="667"/>
      <c r="G722" s="743"/>
      <c r="H722" s="743"/>
      <c r="I722" s="743"/>
      <c r="J722" s="743"/>
      <c r="K722" s="743"/>
      <c r="L722" s="743"/>
      <c r="M722" s="743"/>
      <c r="N722" s="744"/>
      <c r="O722" s="744"/>
      <c r="P722" s="744"/>
    </row>
    <row r="723" spans="4:16" s="13" customFormat="1" ht="20.25" customHeight="1">
      <c r="D723" s="667"/>
      <c r="E723" s="667"/>
      <c r="G723" s="743"/>
      <c r="H723" s="743"/>
      <c r="I723" s="743"/>
      <c r="J723" s="743"/>
      <c r="K723" s="743"/>
      <c r="L723" s="743"/>
      <c r="M723" s="743"/>
      <c r="N723" s="744"/>
      <c r="O723" s="744"/>
      <c r="P723" s="744"/>
    </row>
    <row r="724" spans="4:16" s="13" customFormat="1" ht="20.25" customHeight="1">
      <c r="D724" s="667"/>
      <c r="E724" s="667"/>
      <c r="G724" s="743"/>
      <c r="H724" s="743"/>
      <c r="I724" s="743"/>
      <c r="J724" s="743"/>
      <c r="K724" s="743"/>
      <c r="L724" s="743"/>
      <c r="M724" s="743"/>
      <c r="N724" s="744"/>
      <c r="O724" s="744"/>
      <c r="P724" s="744"/>
    </row>
    <row r="725" spans="4:16" s="13" customFormat="1" ht="20.25" customHeight="1">
      <c r="D725" s="667"/>
      <c r="E725" s="667"/>
      <c r="G725" s="743"/>
      <c r="H725" s="743"/>
      <c r="I725" s="743"/>
      <c r="J725" s="743"/>
      <c r="K725" s="743"/>
      <c r="L725" s="743"/>
      <c r="M725" s="743"/>
      <c r="N725" s="744"/>
      <c r="O725" s="744"/>
      <c r="P725" s="744"/>
    </row>
    <row r="726" spans="4:16" s="13" customFormat="1" ht="20.25" customHeight="1">
      <c r="D726" s="667"/>
      <c r="E726" s="667"/>
      <c r="G726" s="743"/>
      <c r="H726" s="743"/>
      <c r="I726" s="743"/>
      <c r="J726" s="743"/>
      <c r="K726" s="743"/>
      <c r="L726" s="743"/>
      <c r="M726" s="743"/>
      <c r="N726" s="744"/>
      <c r="O726" s="744"/>
      <c r="P726" s="744"/>
    </row>
    <row r="727" spans="4:16" s="13" customFormat="1" ht="20.25" customHeight="1">
      <c r="D727" s="667"/>
      <c r="E727" s="667"/>
      <c r="G727" s="743"/>
      <c r="H727" s="743"/>
      <c r="I727" s="743"/>
      <c r="J727" s="743"/>
      <c r="K727" s="743"/>
      <c r="L727" s="743"/>
      <c r="M727" s="743"/>
      <c r="N727" s="744"/>
      <c r="O727" s="744"/>
      <c r="P727" s="744"/>
    </row>
    <row r="728" spans="4:16" s="13" customFormat="1" ht="20.25" customHeight="1">
      <c r="D728" s="667"/>
      <c r="E728" s="667"/>
      <c r="G728" s="743"/>
      <c r="H728" s="743"/>
      <c r="I728" s="743"/>
      <c r="J728" s="743"/>
      <c r="K728" s="743"/>
      <c r="L728" s="743"/>
      <c r="M728" s="743"/>
      <c r="N728" s="744"/>
      <c r="O728" s="744"/>
      <c r="P728" s="744"/>
    </row>
    <row r="729" spans="4:16" s="13" customFormat="1" ht="20.25" customHeight="1">
      <c r="D729" s="667"/>
      <c r="E729" s="667"/>
      <c r="G729" s="743"/>
      <c r="H729" s="743"/>
      <c r="I729" s="743"/>
      <c r="J729" s="743"/>
      <c r="K729" s="743"/>
      <c r="L729" s="743"/>
      <c r="M729" s="743"/>
      <c r="N729" s="744"/>
      <c r="O729" s="744"/>
      <c r="P729" s="744"/>
    </row>
    <row r="730" spans="4:16" s="13" customFormat="1" ht="20.25" customHeight="1">
      <c r="D730" s="667"/>
      <c r="E730" s="667"/>
      <c r="G730" s="743"/>
      <c r="H730" s="743"/>
      <c r="I730" s="743"/>
      <c r="J730" s="743"/>
      <c r="K730" s="743"/>
      <c r="L730" s="743"/>
      <c r="M730" s="743"/>
      <c r="N730" s="744"/>
      <c r="O730" s="744"/>
      <c r="P730" s="744"/>
    </row>
    <row r="731" spans="4:16" s="13" customFormat="1" ht="20.25" customHeight="1">
      <c r="D731" s="667"/>
      <c r="E731" s="667"/>
      <c r="G731" s="743"/>
      <c r="H731" s="743"/>
      <c r="I731" s="743"/>
      <c r="J731" s="743"/>
      <c r="K731" s="743"/>
      <c r="L731" s="743"/>
      <c r="M731" s="743"/>
      <c r="N731" s="744"/>
      <c r="O731" s="744"/>
      <c r="P731" s="744"/>
    </row>
    <row r="732" spans="4:16" s="13" customFormat="1" ht="20.25" customHeight="1">
      <c r="D732" s="667"/>
      <c r="E732" s="667"/>
      <c r="G732" s="743"/>
      <c r="H732" s="743"/>
      <c r="I732" s="743"/>
      <c r="J732" s="743"/>
      <c r="K732" s="743"/>
      <c r="L732" s="743"/>
      <c r="M732" s="743"/>
      <c r="N732" s="744"/>
      <c r="O732" s="744"/>
      <c r="P732" s="744"/>
    </row>
    <row r="733" spans="4:16" s="13" customFormat="1" ht="20.25" customHeight="1">
      <c r="D733" s="667"/>
      <c r="E733" s="667"/>
      <c r="G733" s="743"/>
      <c r="H733" s="743"/>
      <c r="I733" s="743"/>
      <c r="J733" s="743"/>
      <c r="K733" s="743"/>
      <c r="L733" s="743"/>
      <c r="M733" s="743"/>
      <c r="N733" s="744"/>
      <c r="O733" s="744"/>
      <c r="P733" s="744"/>
    </row>
    <row r="734" spans="4:16" s="13" customFormat="1" ht="20.25" customHeight="1">
      <c r="D734" s="667"/>
      <c r="E734" s="667"/>
      <c r="G734" s="743"/>
      <c r="H734" s="743"/>
      <c r="I734" s="743"/>
      <c r="J734" s="743"/>
      <c r="K734" s="743"/>
      <c r="L734" s="743"/>
      <c r="M734" s="743"/>
      <c r="N734" s="744"/>
      <c r="O734" s="744"/>
      <c r="P734" s="744"/>
    </row>
    <row r="735" spans="4:16" s="13" customFormat="1" ht="20.25" customHeight="1">
      <c r="D735" s="667"/>
      <c r="E735" s="667"/>
      <c r="G735" s="743"/>
      <c r="H735" s="743"/>
      <c r="I735" s="743"/>
      <c r="J735" s="743"/>
      <c r="K735" s="743"/>
      <c r="L735" s="743"/>
      <c r="M735" s="743"/>
      <c r="N735" s="744"/>
      <c r="O735" s="744"/>
      <c r="P735" s="744"/>
    </row>
    <row r="736" spans="4:16" s="13" customFormat="1" ht="20.25" customHeight="1">
      <c r="D736" s="667"/>
      <c r="E736" s="667"/>
      <c r="G736" s="743"/>
      <c r="H736" s="743"/>
      <c r="I736" s="743"/>
      <c r="J736" s="743"/>
      <c r="K736" s="743"/>
      <c r="L736" s="743"/>
      <c r="M736" s="743"/>
      <c r="N736" s="744"/>
      <c r="O736" s="744"/>
      <c r="P736" s="744"/>
    </row>
    <row r="737" spans="4:16" s="13" customFormat="1" ht="20.25" customHeight="1">
      <c r="D737" s="667"/>
      <c r="E737" s="667"/>
      <c r="G737" s="743"/>
      <c r="H737" s="743"/>
      <c r="I737" s="743"/>
      <c r="J737" s="743"/>
      <c r="K737" s="743"/>
      <c r="L737" s="743"/>
      <c r="M737" s="743"/>
      <c r="N737" s="744"/>
      <c r="O737" s="744"/>
      <c r="P737" s="744"/>
    </row>
    <row r="738" spans="4:16" s="13" customFormat="1" ht="20.25" customHeight="1">
      <c r="D738" s="667"/>
      <c r="E738" s="667"/>
      <c r="G738" s="743"/>
      <c r="H738" s="743"/>
      <c r="I738" s="743"/>
      <c r="J738" s="743"/>
      <c r="K738" s="743"/>
      <c r="L738" s="743"/>
      <c r="M738" s="743"/>
      <c r="N738" s="744"/>
      <c r="O738" s="744"/>
      <c r="P738" s="744"/>
    </row>
    <row r="739" spans="4:16" s="13" customFormat="1" ht="20.25" customHeight="1">
      <c r="D739" s="667"/>
      <c r="E739" s="667"/>
      <c r="G739" s="743"/>
      <c r="H739" s="743"/>
      <c r="I739" s="743"/>
      <c r="J739" s="743"/>
      <c r="K739" s="743"/>
      <c r="L739" s="743"/>
      <c r="M739" s="743"/>
      <c r="N739" s="744"/>
      <c r="O739" s="744"/>
      <c r="P739" s="744"/>
    </row>
    <row r="740" spans="4:16" s="13" customFormat="1" ht="20.25" customHeight="1">
      <c r="D740" s="667"/>
      <c r="E740" s="667"/>
      <c r="G740" s="743"/>
      <c r="H740" s="743"/>
      <c r="I740" s="743"/>
      <c r="J740" s="743"/>
      <c r="K740" s="743"/>
      <c r="L740" s="743"/>
      <c r="M740" s="743"/>
      <c r="N740" s="744"/>
      <c r="O740" s="744"/>
      <c r="P740" s="744"/>
    </row>
    <row r="741" spans="4:16" s="13" customFormat="1" ht="20.25" customHeight="1">
      <c r="D741" s="667"/>
      <c r="E741" s="667"/>
      <c r="G741" s="743"/>
      <c r="H741" s="743"/>
      <c r="I741" s="743"/>
      <c r="J741" s="743"/>
      <c r="K741" s="743"/>
      <c r="L741" s="743"/>
      <c r="M741" s="743"/>
      <c r="N741" s="744"/>
      <c r="O741" s="744"/>
      <c r="P741" s="744"/>
    </row>
    <row r="742" spans="4:16" s="13" customFormat="1" ht="20.25" customHeight="1">
      <c r="D742" s="667"/>
      <c r="E742" s="667"/>
      <c r="G742" s="743"/>
      <c r="H742" s="743"/>
      <c r="I742" s="743"/>
      <c r="J742" s="743"/>
      <c r="K742" s="743"/>
      <c r="L742" s="743"/>
      <c r="M742" s="743"/>
      <c r="N742" s="744"/>
      <c r="O742" s="744"/>
      <c r="P742" s="744"/>
    </row>
    <row r="743" spans="4:16" s="13" customFormat="1" ht="20.25" customHeight="1">
      <c r="D743" s="667"/>
      <c r="E743" s="667"/>
      <c r="G743" s="743"/>
      <c r="H743" s="743"/>
      <c r="I743" s="743"/>
      <c r="J743" s="743"/>
      <c r="K743" s="743"/>
      <c r="L743" s="743"/>
      <c r="M743" s="743"/>
      <c r="N743" s="744"/>
      <c r="O743" s="744"/>
      <c r="P743" s="744"/>
    </row>
    <row r="744" spans="4:16" s="13" customFormat="1" ht="20.25" customHeight="1">
      <c r="D744" s="667"/>
      <c r="E744" s="667"/>
      <c r="G744" s="743"/>
      <c r="H744" s="743"/>
      <c r="I744" s="743"/>
      <c r="J744" s="743"/>
      <c r="K744" s="743"/>
      <c r="L744" s="743"/>
      <c r="M744" s="743"/>
      <c r="N744" s="744"/>
      <c r="O744" s="744"/>
      <c r="P744" s="744"/>
    </row>
    <row r="745" spans="4:16" s="13" customFormat="1" ht="20.25" customHeight="1">
      <c r="D745" s="667"/>
      <c r="E745" s="667"/>
      <c r="G745" s="743"/>
      <c r="H745" s="743"/>
      <c r="I745" s="743"/>
      <c r="J745" s="743"/>
      <c r="K745" s="743"/>
      <c r="L745" s="743"/>
      <c r="M745" s="743"/>
      <c r="N745" s="744"/>
      <c r="O745" s="744"/>
      <c r="P745" s="744"/>
    </row>
    <row r="746" spans="4:16" s="13" customFormat="1" ht="20.25" customHeight="1">
      <c r="D746" s="667"/>
      <c r="E746" s="667"/>
      <c r="G746" s="743"/>
      <c r="H746" s="743"/>
      <c r="I746" s="743"/>
      <c r="J746" s="743"/>
      <c r="K746" s="743"/>
      <c r="L746" s="743"/>
      <c r="M746" s="743"/>
      <c r="N746" s="744"/>
      <c r="O746" s="744"/>
      <c r="P746" s="744"/>
    </row>
    <row r="747" spans="4:16" s="13" customFormat="1" ht="20.25" customHeight="1">
      <c r="D747" s="667"/>
      <c r="E747" s="667"/>
      <c r="G747" s="743"/>
      <c r="H747" s="743"/>
      <c r="I747" s="743"/>
      <c r="J747" s="743"/>
      <c r="K747" s="743"/>
      <c r="L747" s="743"/>
      <c r="M747" s="743"/>
      <c r="N747" s="744"/>
      <c r="O747" s="744"/>
      <c r="P747" s="744"/>
    </row>
    <row r="748" spans="4:16" s="13" customFormat="1" ht="20.25" customHeight="1">
      <c r="D748" s="667"/>
      <c r="E748" s="667"/>
      <c r="G748" s="743"/>
      <c r="H748" s="743"/>
      <c r="I748" s="743"/>
      <c r="J748" s="743"/>
      <c r="K748" s="743"/>
      <c r="L748" s="743"/>
      <c r="M748" s="743"/>
      <c r="N748" s="744"/>
      <c r="O748" s="744"/>
      <c r="P748" s="744"/>
    </row>
    <row r="749" spans="4:16" s="13" customFormat="1" ht="20.25" customHeight="1">
      <c r="D749" s="667"/>
      <c r="E749" s="667"/>
      <c r="G749" s="743"/>
      <c r="H749" s="743"/>
      <c r="I749" s="743"/>
      <c r="J749" s="743"/>
      <c r="K749" s="743"/>
      <c r="L749" s="743"/>
      <c r="M749" s="743"/>
      <c r="N749" s="744"/>
      <c r="O749" s="744"/>
      <c r="P749" s="744"/>
    </row>
    <row r="750" spans="4:16" s="13" customFormat="1" ht="20.25" customHeight="1">
      <c r="D750" s="667"/>
      <c r="E750" s="667"/>
      <c r="G750" s="743"/>
      <c r="H750" s="743"/>
      <c r="I750" s="743"/>
      <c r="J750" s="743"/>
      <c r="K750" s="743"/>
      <c r="L750" s="743"/>
      <c r="M750" s="743"/>
      <c r="N750" s="744"/>
      <c r="O750" s="744"/>
      <c r="P750" s="744"/>
    </row>
    <row r="751" spans="4:16" s="13" customFormat="1" ht="20.25" customHeight="1">
      <c r="D751" s="667"/>
      <c r="E751" s="667"/>
      <c r="G751" s="743"/>
      <c r="H751" s="743"/>
      <c r="I751" s="743"/>
      <c r="J751" s="743"/>
      <c r="K751" s="743"/>
      <c r="L751" s="743"/>
      <c r="M751" s="743"/>
      <c r="N751" s="744"/>
      <c r="O751" s="744"/>
      <c r="P751" s="744"/>
    </row>
    <row r="752" spans="4:16" s="13" customFormat="1" ht="20.25" customHeight="1">
      <c r="D752" s="667"/>
      <c r="E752" s="667"/>
      <c r="G752" s="743"/>
      <c r="H752" s="743"/>
      <c r="I752" s="743"/>
      <c r="J752" s="743"/>
      <c r="K752" s="743"/>
      <c r="L752" s="743"/>
      <c r="M752" s="743"/>
      <c r="N752" s="744"/>
      <c r="O752" s="744"/>
      <c r="P752" s="744"/>
    </row>
    <row r="753" spans="4:16" s="13" customFormat="1" ht="20.25" customHeight="1">
      <c r="D753" s="667"/>
      <c r="E753" s="667"/>
      <c r="G753" s="743"/>
      <c r="H753" s="743"/>
      <c r="I753" s="743"/>
      <c r="J753" s="743"/>
      <c r="K753" s="743"/>
      <c r="L753" s="743"/>
      <c r="M753" s="743"/>
      <c r="N753" s="744"/>
      <c r="O753" s="744"/>
      <c r="P753" s="744"/>
    </row>
    <row r="754" spans="4:16" s="13" customFormat="1" ht="20.25" customHeight="1">
      <c r="D754" s="667"/>
      <c r="E754" s="667"/>
      <c r="G754" s="743"/>
      <c r="H754" s="743"/>
      <c r="I754" s="743"/>
      <c r="J754" s="743"/>
      <c r="K754" s="743"/>
      <c r="L754" s="743"/>
      <c r="M754" s="743"/>
      <c r="N754" s="744"/>
      <c r="O754" s="744"/>
      <c r="P754" s="744"/>
    </row>
    <row r="755" spans="4:16" s="13" customFormat="1" ht="20.25" customHeight="1">
      <c r="D755" s="667"/>
      <c r="E755" s="667"/>
      <c r="G755" s="743"/>
      <c r="H755" s="743"/>
      <c r="I755" s="743"/>
      <c r="J755" s="743"/>
      <c r="K755" s="743"/>
      <c r="L755" s="743"/>
      <c r="M755" s="743"/>
      <c r="N755" s="744"/>
      <c r="O755" s="744"/>
      <c r="P755" s="744"/>
    </row>
    <row r="756" spans="4:16" s="13" customFormat="1" ht="20.25" customHeight="1">
      <c r="D756" s="667"/>
      <c r="E756" s="667"/>
      <c r="G756" s="743"/>
      <c r="H756" s="743"/>
      <c r="I756" s="743"/>
      <c r="J756" s="743"/>
      <c r="K756" s="743"/>
      <c r="L756" s="743"/>
      <c r="M756" s="743"/>
      <c r="N756" s="744"/>
      <c r="O756" s="744"/>
      <c r="P756" s="744"/>
    </row>
    <row r="757" spans="4:16" s="13" customFormat="1" ht="20.25" customHeight="1">
      <c r="D757" s="667"/>
      <c r="E757" s="667"/>
      <c r="G757" s="743"/>
      <c r="H757" s="743"/>
      <c r="I757" s="743"/>
      <c r="J757" s="743"/>
      <c r="K757" s="743"/>
      <c r="L757" s="743"/>
      <c r="M757" s="743"/>
      <c r="N757" s="744"/>
      <c r="O757" s="744"/>
      <c r="P757" s="744"/>
    </row>
    <row r="758" spans="4:16" s="13" customFormat="1" ht="20.25" customHeight="1">
      <c r="D758" s="667"/>
      <c r="E758" s="667"/>
      <c r="G758" s="743"/>
      <c r="H758" s="743"/>
      <c r="I758" s="743"/>
      <c r="J758" s="743"/>
      <c r="K758" s="743"/>
      <c r="L758" s="743"/>
      <c r="M758" s="743"/>
      <c r="N758" s="744"/>
      <c r="O758" s="744"/>
      <c r="P758" s="744"/>
    </row>
    <row r="759" spans="4:16" s="13" customFormat="1" ht="20.25" customHeight="1">
      <c r="D759" s="667"/>
      <c r="E759" s="667"/>
      <c r="G759" s="743"/>
      <c r="H759" s="743"/>
      <c r="I759" s="743"/>
      <c r="J759" s="743"/>
      <c r="K759" s="743"/>
      <c r="L759" s="743"/>
      <c r="M759" s="743"/>
      <c r="N759" s="744"/>
      <c r="O759" s="744"/>
      <c r="P759" s="744"/>
    </row>
    <row r="760" spans="4:16" s="13" customFormat="1" ht="20.25" customHeight="1">
      <c r="D760" s="667"/>
      <c r="E760" s="667"/>
      <c r="G760" s="743"/>
      <c r="H760" s="743"/>
      <c r="I760" s="743"/>
      <c r="J760" s="743"/>
      <c r="K760" s="743"/>
      <c r="L760" s="743"/>
      <c r="M760" s="743"/>
      <c r="N760" s="744"/>
      <c r="O760" s="744"/>
      <c r="P760" s="744"/>
    </row>
    <row r="761" spans="4:16" s="13" customFormat="1" ht="20.25" customHeight="1">
      <c r="D761" s="667"/>
      <c r="E761" s="667"/>
      <c r="G761" s="743"/>
      <c r="H761" s="743"/>
      <c r="I761" s="743"/>
      <c r="J761" s="743"/>
      <c r="K761" s="743"/>
      <c r="L761" s="743"/>
      <c r="M761" s="743"/>
      <c r="N761" s="744"/>
      <c r="O761" s="744"/>
      <c r="P761" s="744"/>
    </row>
    <row r="762" spans="4:16" s="13" customFormat="1" ht="20.25" customHeight="1">
      <c r="D762" s="667"/>
      <c r="E762" s="667"/>
      <c r="G762" s="743"/>
      <c r="H762" s="743"/>
      <c r="I762" s="743"/>
      <c r="J762" s="743"/>
      <c r="K762" s="743"/>
      <c r="L762" s="743"/>
      <c r="M762" s="743"/>
      <c r="N762" s="744"/>
      <c r="O762" s="744"/>
      <c r="P762" s="744"/>
    </row>
    <row r="763" spans="4:16" s="13" customFormat="1" ht="20.25" customHeight="1">
      <c r="D763" s="667"/>
      <c r="E763" s="667"/>
      <c r="G763" s="743"/>
      <c r="H763" s="743"/>
      <c r="I763" s="743"/>
      <c r="J763" s="743"/>
      <c r="K763" s="743"/>
      <c r="L763" s="743"/>
      <c r="M763" s="743"/>
      <c r="N763" s="744"/>
      <c r="O763" s="744"/>
      <c r="P763" s="744"/>
    </row>
    <row r="764" spans="4:16" s="13" customFormat="1" ht="20.25" customHeight="1">
      <c r="D764" s="667"/>
      <c r="E764" s="667"/>
      <c r="G764" s="743"/>
      <c r="H764" s="743"/>
      <c r="I764" s="743"/>
      <c r="J764" s="743"/>
      <c r="K764" s="743"/>
      <c r="L764" s="743"/>
      <c r="M764" s="743"/>
      <c r="N764" s="744"/>
      <c r="O764" s="744"/>
      <c r="P764" s="744"/>
    </row>
    <row r="765" spans="4:16" s="13" customFormat="1" ht="20.25" customHeight="1">
      <c r="D765" s="667"/>
      <c r="E765" s="667"/>
      <c r="G765" s="743"/>
      <c r="H765" s="743"/>
      <c r="I765" s="743"/>
      <c r="J765" s="743"/>
      <c r="K765" s="743"/>
      <c r="L765" s="743"/>
      <c r="M765" s="743"/>
      <c r="N765" s="744"/>
      <c r="O765" s="744"/>
      <c r="P765" s="744"/>
    </row>
    <row r="766" spans="4:16" s="13" customFormat="1" ht="20.25" customHeight="1">
      <c r="D766" s="667"/>
      <c r="E766" s="667"/>
      <c r="G766" s="743"/>
      <c r="H766" s="743"/>
      <c r="I766" s="743"/>
      <c r="J766" s="743"/>
      <c r="K766" s="743"/>
      <c r="L766" s="743"/>
      <c r="M766" s="743"/>
      <c r="N766" s="744"/>
      <c r="O766" s="744"/>
      <c r="P766" s="744"/>
    </row>
    <row r="767" spans="4:16" s="13" customFormat="1" ht="20.25" customHeight="1">
      <c r="D767" s="667"/>
      <c r="E767" s="667"/>
      <c r="G767" s="743"/>
      <c r="H767" s="743"/>
      <c r="I767" s="743"/>
      <c r="J767" s="743"/>
      <c r="K767" s="743"/>
      <c r="L767" s="743"/>
      <c r="M767" s="743"/>
      <c r="N767" s="744"/>
      <c r="O767" s="744"/>
      <c r="P767" s="744"/>
    </row>
    <row r="768" spans="4:16" s="13" customFormat="1" ht="20.25" customHeight="1">
      <c r="D768" s="667"/>
      <c r="E768" s="667"/>
      <c r="G768" s="743"/>
      <c r="H768" s="743"/>
      <c r="I768" s="743"/>
      <c r="J768" s="743"/>
      <c r="K768" s="743"/>
      <c r="L768" s="743"/>
      <c r="M768" s="743"/>
      <c r="N768" s="744"/>
      <c r="O768" s="744"/>
      <c r="P768" s="744"/>
    </row>
    <row r="769" spans="4:16" s="13" customFormat="1" ht="20.25" customHeight="1">
      <c r="D769" s="667"/>
      <c r="E769" s="667"/>
      <c r="G769" s="743"/>
      <c r="H769" s="743"/>
      <c r="I769" s="743"/>
      <c r="J769" s="743"/>
      <c r="K769" s="743"/>
      <c r="L769" s="743"/>
      <c r="M769" s="743"/>
      <c r="N769" s="744"/>
      <c r="O769" s="744"/>
      <c r="P769" s="744"/>
    </row>
    <row r="770" spans="4:16" s="13" customFormat="1" ht="20.25" customHeight="1">
      <c r="D770" s="667"/>
      <c r="E770" s="667"/>
      <c r="G770" s="743"/>
      <c r="H770" s="743"/>
      <c r="I770" s="743"/>
      <c r="J770" s="743"/>
      <c r="K770" s="743"/>
      <c r="L770" s="743"/>
      <c r="M770" s="743"/>
      <c r="N770" s="744"/>
      <c r="O770" s="744"/>
      <c r="P770" s="744"/>
    </row>
    <row r="771" spans="4:16" s="13" customFormat="1" ht="20.25" customHeight="1">
      <c r="D771" s="667"/>
      <c r="E771" s="667"/>
      <c r="G771" s="743"/>
      <c r="H771" s="743"/>
      <c r="I771" s="743"/>
      <c r="J771" s="743"/>
      <c r="K771" s="743"/>
      <c r="L771" s="743"/>
      <c r="M771" s="743"/>
      <c r="N771" s="744"/>
      <c r="O771" s="744"/>
      <c r="P771" s="744"/>
    </row>
    <row r="772" spans="4:16" s="13" customFormat="1" ht="20.25" customHeight="1">
      <c r="D772" s="667"/>
      <c r="E772" s="667"/>
      <c r="G772" s="743"/>
      <c r="H772" s="743"/>
      <c r="I772" s="743"/>
      <c r="J772" s="743"/>
      <c r="K772" s="743"/>
      <c r="L772" s="743"/>
      <c r="M772" s="743"/>
      <c r="N772" s="744"/>
      <c r="O772" s="744"/>
      <c r="P772" s="744"/>
    </row>
    <row r="773" spans="4:16" s="13" customFormat="1" ht="20.25" customHeight="1">
      <c r="D773" s="667"/>
      <c r="E773" s="667"/>
      <c r="G773" s="743"/>
      <c r="H773" s="743"/>
      <c r="I773" s="743"/>
      <c r="J773" s="743"/>
      <c r="K773" s="743"/>
      <c r="L773" s="743"/>
      <c r="M773" s="743"/>
      <c r="N773" s="744"/>
      <c r="O773" s="744"/>
      <c r="P773" s="744"/>
    </row>
    <row r="774" spans="4:16" s="13" customFormat="1" ht="20.25" customHeight="1">
      <c r="D774" s="667"/>
      <c r="E774" s="667"/>
      <c r="G774" s="743"/>
      <c r="H774" s="743"/>
      <c r="I774" s="743"/>
      <c r="J774" s="743"/>
      <c r="K774" s="743"/>
      <c r="L774" s="743"/>
      <c r="M774" s="743"/>
      <c r="N774" s="744"/>
      <c r="O774" s="744"/>
      <c r="P774" s="744"/>
    </row>
    <row r="775" spans="4:16" s="13" customFormat="1" ht="20.25" customHeight="1">
      <c r="D775" s="667"/>
      <c r="E775" s="667"/>
      <c r="G775" s="743"/>
      <c r="H775" s="743"/>
      <c r="I775" s="743"/>
      <c r="J775" s="743"/>
      <c r="K775" s="743"/>
      <c r="L775" s="743"/>
      <c r="M775" s="743"/>
      <c r="N775" s="744"/>
      <c r="O775" s="744"/>
      <c r="P775" s="744"/>
    </row>
    <row r="776" spans="4:16" s="13" customFormat="1" ht="20.25" customHeight="1">
      <c r="D776" s="667"/>
      <c r="E776" s="667"/>
      <c r="G776" s="743"/>
      <c r="H776" s="743"/>
      <c r="I776" s="743"/>
      <c r="J776" s="743"/>
      <c r="K776" s="743"/>
      <c r="L776" s="743"/>
      <c r="M776" s="743"/>
      <c r="N776" s="744"/>
      <c r="O776" s="744"/>
      <c r="P776" s="744"/>
    </row>
    <row r="777" spans="4:16" s="13" customFormat="1" ht="20.25" customHeight="1">
      <c r="D777" s="667"/>
      <c r="E777" s="667"/>
      <c r="G777" s="743"/>
      <c r="H777" s="743"/>
      <c r="I777" s="743"/>
      <c r="J777" s="743"/>
      <c r="K777" s="743"/>
      <c r="L777" s="743"/>
      <c r="M777" s="743"/>
      <c r="N777" s="744"/>
      <c r="O777" s="744"/>
      <c r="P777" s="744"/>
    </row>
    <row r="778" spans="4:16" s="13" customFormat="1" ht="20.25" customHeight="1">
      <c r="D778" s="667"/>
      <c r="E778" s="667"/>
      <c r="G778" s="743"/>
      <c r="H778" s="743"/>
      <c r="I778" s="743"/>
      <c r="J778" s="743"/>
      <c r="K778" s="743"/>
      <c r="L778" s="743"/>
      <c r="M778" s="743"/>
      <c r="N778" s="744"/>
      <c r="O778" s="744"/>
      <c r="P778" s="744"/>
    </row>
    <row r="779" spans="4:16" s="13" customFormat="1" ht="20.25" customHeight="1">
      <c r="D779" s="667"/>
      <c r="E779" s="667"/>
      <c r="G779" s="743"/>
      <c r="H779" s="743"/>
      <c r="I779" s="743"/>
      <c r="J779" s="743"/>
      <c r="K779" s="743"/>
      <c r="L779" s="743"/>
      <c r="M779" s="743"/>
      <c r="N779" s="744"/>
      <c r="O779" s="744"/>
      <c r="P779" s="744"/>
    </row>
    <row r="780" spans="4:16" s="13" customFormat="1" ht="20.25" customHeight="1">
      <c r="D780" s="667"/>
      <c r="E780" s="667"/>
      <c r="G780" s="743"/>
      <c r="H780" s="743"/>
      <c r="I780" s="743"/>
      <c r="J780" s="743"/>
      <c r="K780" s="743"/>
      <c r="L780" s="743"/>
      <c r="M780" s="743"/>
      <c r="N780" s="744"/>
      <c r="O780" s="744"/>
      <c r="P780" s="744"/>
    </row>
    <row r="781" spans="4:16" s="13" customFormat="1" ht="20.25" customHeight="1">
      <c r="D781" s="667"/>
      <c r="E781" s="667"/>
      <c r="G781" s="743"/>
      <c r="H781" s="743"/>
      <c r="I781" s="743"/>
      <c r="J781" s="743"/>
      <c r="K781" s="743"/>
      <c r="L781" s="743"/>
      <c r="M781" s="743"/>
      <c r="N781" s="744"/>
      <c r="O781" s="744"/>
      <c r="P781" s="744"/>
    </row>
    <row r="782" spans="4:16" s="13" customFormat="1" ht="20.25" customHeight="1">
      <c r="D782" s="667"/>
      <c r="E782" s="667"/>
      <c r="G782" s="743"/>
      <c r="H782" s="743"/>
      <c r="I782" s="743"/>
      <c r="J782" s="743"/>
      <c r="K782" s="743"/>
      <c r="L782" s="743"/>
      <c r="M782" s="743"/>
      <c r="N782" s="744"/>
      <c r="O782" s="744"/>
      <c r="P782" s="744"/>
    </row>
    <row r="783" spans="4:16" s="13" customFormat="1" ht="20.25" customHeight="1">
      <c r="D783" s="667"/>
      <c r="E783" s="667"/>
      <c r="G783" s="743"/>
      <c r="H783" s="743"/>
      <c r="I783" s="743"/>
      <c r="J783" s="743"/>
      <c r="K783" s="743"/>
      <c r="L783" s="743"/>
      <c r="M783" s="743"/>
      <c r="N783" s="744"/>
      <c r="O783" s="744"/>
      <c r="P783" s="744"/>
    </row>
    <row r="784" spans="4:16" s="13" customFormat="1" ht="20.25" customHeight="1">
      <c r="D784" s="667"/>
      <c r="E784" s="667"/>
      <c r="G784" s="743"/>
      <c r="H784" s="743"/>
      <c r="I784" s="743"/>
      <c r="J784" s="743"/>
      <c r="K784" s="743"/>
      <c r="L784" s="743"/>
      <c r="M784" s="743"/>
      <c r="N784" s="744"/>
      <c r="O784" s="744"/>
      <c r="P784" s="744"/>
    </row>
    <row r="785" spans="4:16" s="13" customFormat="1" ht="20.25" customHeight="1">
      <c r="D785" s="667"/>
      <c r="E785" s="667"/>
      <c r="G785" s="743"/>
      <c r="H785" s="743"/>
      <c r="I785" s="743"/>
      <c r="J785" s="743"/>
      <c r="K785" s="743"/>
      <c r="L785" s="743"/>
      <c r="M785" s="743"/>
      <c r="N785" s="744"/>
      <c r="O785" s="744"/>
      <c r="P785" s="744"/>
    </row>
    <row r="786" spans="4:16" s="13" customFormat="1" ht="20.25" customHeight="1">
      <c r="D786" s="667"/>
      <c r="E786" s="667"/>
      <c r="G786" s="743"/>
      <c r="H786" s="743"/>
      <c r="I786" s="743"/>
      <c r="J786" s="743"/>
      <c r="K786" s="743"/>
      <c r="L786" s="743"/>
      <c r="M786" s="743"/>
      <c r="N786" s="744"/>
      <c r="O786" s="744"/>
      <c r="P786" s="744"/>
    </row>
    <row r="787" spans="4:16" s="13" customFormat="1" ht="20.25" customHeight="1">
      <c r="D787" s="667"/>
      <c r="E787" s="667"/>
      <c r="G787" s="743"/>
      <c r="H787" s="743"/>
      <c r="I787" s="743"/>
      <c r="J787" s="743"/>
      <c r="K787" s="743"/>
      <c r="L787" s="743"/>
      <c r="M787" s="743"/>
      <c r="N787" s="744"/>
      <c r="O787" s="744"/>
      <c r="P787" s="744"/>
    </row>
    <row r="788" spans="4:16" s="13" customFormat="1" ht="20.25" customHeight="1">
      <c r="D788" s="667"/>
      <c r="E788" s="667"/>
      <c r="G788" s="743"/>
      <c r="H788" s="743"/>
      <c r="I788" s="743"/>
      <c r="J788" s="743"/>
      <c r="K788" s="743"/>
      <c r="L788" s="743"/>
      <c r="M788" s="743"/>
      <c r="N788" s="744"/>
      <c r="O788" s="744"/>
      <c r="P788" s="744"/>
    </row>
    <row r="789" spans="4:16" s="13" customFormat="1" ht="20.25" customHeight="1">
      <c r="D789" s="667"/>
      <c r="E789" s="667"/>
      <c r="G789" s="743"/>
      <c r="H789" s="743"/>
      <c r="I789" s="743"/>
      <c r="J789" s="743"/>
      <c r="K789" s="743"/>
      <c r="L789" s="743"/>
      <c r="M789" s="743"/>
      <c r="N789" s="744"/>
      <c r="O789" s="744"/>
      <c r="P789" s="744"/>
    </row>
    <row r="790" spans="4:16" s="13" customFormat="1" ht="20.25" customHeight="1">
      <c r="D790" s="667"/>
      <c r="E790" s="667"/>
      <c r="G790" s="743"/>
      <c r="H790" s="743"/>
      <c r="I790" s="743"/>
      <c r="J790" s="743"/>
      <c r="K790" s="743"/>
      <c r="L790" s="743"/>
      <c r="M790" s="743"/>
      <c r="N790" s="744"/>
      <c r="O790" s="744"/>
      <c r="P790" s="744"/>
    </row>
    <row r="791" spans="4:16" s="13" customFormat="1" ht="20.25" customHeight="1">
      <c r="D791" s="667"/>
      <c r="E791" s="667"/>
      <c r="G791" s="743"/>
      <c r="H791" s="743"/>
      <c r="I791" s="743"/>
      <c r="J791" s="743"/>
      <c r="K791" s="743"/>
      <c r="L791" s="743"/>
      <c r="M791" s="743"/>
      <c r="N791" s="744"/>
      <c r="O791" s="744"/>
      <c r="P791" s="744"/>
    </row>
    <row r="792" spans="4:16" s="13" customFormat="1" ht="20.25" customHeight="1">
      <c r="D792" s="667"/>
      <c r="E792" s="667"/>
      <c r="G792" s="743"/>
      <c r="H792" s="743"/>
      <c r="I792" s="743"/>
      <c r="J792" s="743"/>
      <c r="K792" s="743"/>
      <c r="L792" s="743"/>
      <c r="M792" s="743"/>
      <c r="N792" s="744"/>
      <c r="O792" s="744"/>
      <c r="P792" s="744"/>
    </row>
    <row r="793" spans="4:16" s="13" customFormat="1" ht="20.25" customHeight="1">
      <c r="D793" s="667"/>
      <c r="E793" s="667"/>
      <c r="G793" s="743"/>
      <c r="H793" s="743"/>
      <c r="I793" s="743"/>
      <c r="J793" s="743"/>
      <c r="K793" s="743"/>
      <c r="L793" s="743"/>
      <c r="M793" s="743"/>
      <c r="N793" s="744"/>
      <c r="O793" s="744"/>
      <c r="P793" s="744"/>
    </row>
    <row r="794" spans="4:16" s="13" customFormat="1" ht="20.25" customHeight="1">
      <c r="D794" s="667"/>
      <c r="E794" s="667"/>
      <c r="G794" s="743"/>
      <c r="H794" s="743"/>
      <c r="I794" s="743"/>
      <c r="J794" s="743"/>
      <c r="K794" s="743"/>
      <c r="L794" s="743"/>
      <c r="M794" s="743"/>
      <c r="N794" s="744"/>
      <c r="O794" s="744"/>
      <c r="P794" s="744"/>
    </row>
    <row r="795" spans="4:16" s="13" customFormat="1" ht="20.25" customHeight="1">
      <c r="D795" s="667"/>
      <c r="E795" s="667"/>
      <c r="G795" s="743"/>
      <c r="H795" s="743"/>
      <c r="I795" s="743"/>
      <c r="J795" s="743"/>
      <c r="K795" s="743"/>
      <c r="L795" s="743"/>
      <c r="M795" s="743"/>
      <c r="N795" s="744"/>
      <c r="O795" s="744"/>
      <c r="P795" s="744"/>
    </row>
    <row r="796" spans="4:16" s="13" customFormat="1" ht="20.25" customHeight="1">
      <c r="D796" s="667"/>
      <c r="E796" s="667"/>
      <c r="G796" s="743"/>
      <c r="H796" s="743"/>
      <c r="I796" s="743"/>
      <c r="J796" s="743"/>
      <c r="K796" s="743"/>
      <c r="L796" s="743"/>
      <c r="M796" s="743"/>
      <c r="N796" s="744"/>
      <c r="O796" s="744"/>
      <c r="P796" s="744"/>
    </row>
    <row r="797" spans="4:16" s="13" customFormat="1" ht="20.25" customHeight="1">
      <c r="D797" s="667"/>
      <c r="E797" s="667"/>
      <c r="G797" s="743"/>
      <c r="H797" s="743"/>
      <c r="I797" s="743"/>
      <c r="J797" s="743"/>
      <c r="K797" s="743"/>
      <c r="L797" s="743"/>
      <c r="M797" s="743"/>
      <c r="N797" s="744"/>
      <c r="O797" s="744"/>
      <c r="P797" s="744"/>
    </row>
    <row r="798" spans="4:16" s="13" customFormat="1" ht="20.25" customHeight="1">
      <c r="D798" s="667"/>
      <c r="E798" s="667"/>
      <c r="G798" s="743"/>
      <c r="H798" s="743"/>
      <c r="I798" s="743"/>
      <c r="J798" s="743"/>
      <c r="K798" s="743"/>
      <c r="L798" s="743"/>
      <c r="M798" s="743"/>
      <c r="N798" s="744"/>
      <c r="O798" s="744"/>
      <c r="P798" s="744"/>
    </row>
    <row r="799" spans="4:16" s="13" customFormat="1" ht="20.25" customHeight="1">
      <c r="D799" s="667"/>
      <c r="E799" s="667"/>
      <c r="G799" s="743"/>
      <c r="H799" s="743"/>
      <c r="I799" s="743"/>
      <c r="J799" s="743"/>
      <c r="K799" s="743"/>
      <c r="L799" s="743"/>
      <c r="M799" s="743"/>
      <c r="N799" s="744"/>
      <c r="O799" s="744"/>
      <c r="P799" s="744"/>
    </row>
    <row r="800" spans="4:16" s="13" customFormat="1" ht="20.25" customHeight="1">
      <c r="D800" s="667"/>
      <c r="E800" s="667"/>
      <c r="G800" s="743"/>
      <c r="H800" s="743"/>
      <c r="I800" s="743"/>
      <c r="J800" s="743"/>
      <c r="K800" s="743"/>
      <c r="L800" s="743"/>
      <c r="M800" s="743"/>
      <c r="N800" s="744"/>
      <c r="O800" s="744"/>
      <c r="P800" s="744"/>
    </row>
    <row r="801" spans="4:16" s="13" customFormat="1" ht="20.25" customHeight="1">
      <c r="D801" s="667"/>
      <c r="E801" s="667"/>
      <c r="G801" s="743"/>
      <c r="H801" s="743"/>
      <c r="I801" s="743"/>
      <c r="J801" s="743"/>
      <c r="K801" s="743"/>
      <c r="L801" s="743"/>
      <c r="M801" s="743"/>
      <c r="N801" s="744"/>
      <c r="O801" s="744"/>
      <c r="P801" s="744"/>
    </row>
    <row r="802" spans="4:16" s="13" customFormat="1" ht="20.25" customHeight="1">
      <c r="D802" s="667"/>
      <c r="E802" s="667"/>
      <c r="G802" s="743"/>
      <c r="H802" s="743"/>
      <c r="I802" s="743"/>
      <c r="J802" s="743"/>
      <c r="K802" s="743"/>
      <c r="L802" s="743"/>
      <c r="M802" s="743"/>
      <c r="N802" s="744"/>
      <c r="O802" s="744"/>
      <c r="P802" s="744"/>
    </row>
    <row r="803" spans="4:16" s="13" customFormat="1" ht="20.25" customHeight="1">
      <c r="D803" s="667"/>
      <c r="E803" s="667"/>
      <c r="G803" s="743"/>
      <c r="H803" s="743"/>
      <c r="I803" s="743"/>
      <c r="J803" s="743"/>
      <c r="K803" s="743"/>
      <c r="L803" s="743"/>
      <c r="M803" s="743"/>
      <c r="N803" s="744"/>
      <c r="O803" s="744"/>
      <c r="P803" s="744"/>
    </row>
    <row r="804" spans="4:16" s="13" customFormat="1" ht="20.25" customHeight="1">
      <c r="D804" s="667"/>
      <c r="E804" s="667"/>
      <c r="G804" s="743"/>
      <c r="H804" s="743"/>
      <c r="I804" s="743"/>
      <c r="J804" s="743"/>
      <c r="K804" s="743"/>
      <c r="L804" s="743"/>
      <c r="M804" s="743"/>
      <c r="N804" s="744"/>
      <c r="O804" s="744"/>
      <c r="P804" s="744"/>
    </row>
    <row r="805" spans="4:16" s="13" customFormat="1" ht="20.25" customHeight="1">
      <c r="D805" s="667"/>
      <c r="E805" s="667"/>
      <c r="G805" s="743"/>
      <c r="H805" s="743"/>
      <c r="I805" s="743"/>
      <c r="J805" s="743"/>
      <c r="K805" s="743"/>
      <c r="L805" s="743"/>
      <c r="M805" s="743"/>
      <c r="N805" s="744"/>
      <c r="O805" s="744"/>
      <c r="P805" s="744"/>
    </row>
    <row r="806" spans="4:16" s="13" customFormat="1" ht="20.25" customHeight="1">
      <c r="D806" s="667"/>
      <c r="E806" s="667"/>
      <c r="G806" s="743"/>
      <c r="H806" s="743"/>
      <c r="I806" s="743"/>
      <c r="J806" s="743"/>
      <c r="K806" s="743"/>
      <c r="L806" s="743"/>
      <c r="M806" s="743"/>
      <c r="N806" s="744"/>
      <c r="O806" s="744"/>
      <c r="P806" s="744"/>
    </row>
    <row r="807" spans="4:16" s="13" customFormat="1" ht="20.25" customHeight="1">
      <c r="D807" s="667"/>
      <c r="E807" s="667"/>
      <c r="G807" s="743"/>
      <c r="H807" s="743"/>
      <c r="I807" s="743"/>
      <c r="J807" s="743"/>
      <c r="K807" s="743"/>
      <c r="L807" s="743"/>
      <c r="M807" s="743"/>
      <c r="N807" s="744"/>
      <c r="O807" s="744"/>
      <c r="P807" s="744"/>
    </row>
    <row r="808" spans="4:16" s="13" customFormat="1" ht="20.25" customHeight="1">
      <c r="D808" s="667"/>
      <c r="E808" s="667"/>
      <c r="G808" s="743"/>
      <c r="H808" s="743"/>
      <c r="I808" s="743"/>
      <c r="J808" s="743"/>
      <c r="K808" s="743"/>
      <c r="L808" s="743"/>
      <c r="M808" s="743"/>
      <c r="N808" s="744"/>
      <c r="O808" s="744"/>
      <c r="P808" s="744"/>
    </row>
    <row r="809" spans="4:16" s="13" customFormat="1" ht="20.25" customHeight="1">
      <c r="D809" s="667"/>
      <c r="E809" s="667"/>
      <c r="G809" s="743"/>
      <c r="H809" s="743"/>
      <c r="I809" s="743"/>
      <c r="J809" s="743"/>
      <c r="K809" s="743"/>
      <c r="L809" s="743"/>
      <c r="M809" s="743"/>
      <c r="N809" s="744"/>
      <c r="O809" s="744"/>
      <c r="P809" s="744"/>
    </row>
    <row r="810" spans="4:16" s="13" customFormat="1" ht="20.25" customHeight="1">
      <c r="D810" s="667"/>
      <c r="E810" s="667"/>
      <c r="G810" s="743"/>
      <c r="H810" s="743"/>
      <c r="I810" s="743"/>
      <c r="J810" s="743"/>
      <c r="K810" s="743"/>
      <c r="L810" s="743"/>
      <c r="M810" s="743"/>
      <c r="N810" s="744"/>
      <c r="O810" s="744"/>
      <c r="P810" s="744"/>
    </row>
    <row r="811" spans="4:16" s="13" customFormat="1" ht="20.25" customHeight="1">
      <c r="D811" s="667"/>
      <c r="E811" s="667"/>
      <c r="G811" s="743"/>
      <c r="H811" s="743"/>
      <c r="I811" s="743"/>
      <c r="J811" s="743"/>
      <c r="K811" s="743"/>
      <c r="L811" s="743"/>
      <c r="M811" s="743"/>
      <c r="N811" s="744"/>
      <c r="O811" s="744"/>
      <c r="P811" s="744"/>
    </row>
    <row r="812" spans="4:16" s="13" customFormat="1" ht="20.25" customHeight="1">
      <c r="D812" s="667"/>
      <c r="E812" s="667"/>
      <c r="G812" s="743"/>
      <c r="H812" s="743"/>
      <c r="I812" s="743"/>
      <c r="J812" s="743"/>
      <c r="K812" s="743"/>
      <c r="L812" s="743"/>
      <c r="M812" s="743"/>
      <c r="N812" s="744"/>
      <c r="O812" s="744"/>
      <c r="P812" s="744"/>
    </row>
    <row r="813" spans="4:16" s="13" customFormat="1" ht="20.25" customHeight="1">
      <c r="D813" s="667"/>
      <c r="E813" s="667"/>
      <c r="G813" s="743"/>
      <c r="H813" s="743"/>
      <c r="I813" s="743"/>
      <c r="J813" s="743"/>
      <c r="K813" s="743"/>
      <c r="L813" s="743"/>
      <c r="M813" s="743"/>
      <c r="N813" s="744"/>
      <c r="O813" s="744"/>
      <c r="P813" s="744"/>
    </row>
    <row r="814" spans="4:16" s="13" customFormat="1" ht="20.25" customHeight="1">
      <c r="D814" s="667"/>
      <c r="E814" s="667"/>
      <c r="G814" s="743"/>
      <c r="H814" s="743"/>
      <c r="I814" s="743"/>
      <c r="J814" s="743"/>
      <c r="K814" s="743"/>
      <c r="L814" s="743"/>
      <c r="M814" s="743"/>
      <c r="N814" s="744"/>
      <c r="O814" s="744"/>
      <c r="P814" s="744"/>
    </row>
    <row r="815" spans="4:16" s="13" customFormat="1" ht="20.25" customHeight="1">
      <c r="D815" s="667"/>
      <c r="E815" s="667"/>
      <c r="G815" s="743"/>
      <c r="H815" s="743"/>
      <c r="I815" s="743"/>
      <c r="J815" s="743"/>
      <c r="K815" s="743"/>
      <c r="L815" s="743"/>
      <c r="M815" s="743"/>
      <c r="N815" s="744"/>
      <c r="O815" s="744"/>
      <c r="P815" s="744"/>
    </row>
    <row r="816" spans="4:16" s="13" customFormat="1" ht="20.25" customHeight="1">
      <c r="D816" s="667"/>
      <c r="E816" s="667"/>
      <c r="G816" s="743"/>
      <c r="H816" s="743"/>
      <c r="I816" s="743"/>
      <c r="J816" s="743"/>
      <c r="K816" s="743"/>
      <c r="L816" s="743"/>
      <c r="M816" s="743"/>
      <c r="N816" s="744"/>
      <c r="O816" s="744"/>
      <c r="P816" s="744"/>
    </row>
    <row r="817" spans="4:16" s="13" customFormat="1" ht="20.25" customHeight="1">
      <c r="D817" s="667"/>
      <c r="E817" s="667"/>
      <c r="G817" s="743"/>
      <c r="H817" s="743"/>
      <c r="I817" s="743"/>
      <c r="J817" s="743"/>
      <c r="K817" s="743"/>
      <c r="L817" s="743"/>
      <c r="M817" s="743"/>
      <c r="N817" s="744"/>
      <c r="O817" s="744"/>
      <c r="P817" s="744"/>
    </row>
    <row r="818" spans="4:16" s="13" customFormat="1" ht="20.25" customHeight="1">
      <c r="D818" s="667"/>
      <c r="E818" s="667"/>
      <c r="G818" s="743"/>
      <c r="H818" s="743"/>
      <c r="I818" s="743"/>
      <c r="J818" s="743"/>
      <c r="K818" s="743"/>
      <c r="L818" s="743"/>
      <c r="M818" s="743"/>
      <c r="N818" s="744"/>
      <c r="O818" s="744"/>
      <c r="P818" s="744"/>
    </row>
    <row r="819" spans="4:16" s="13" customFormat="1" ht="20.25" customHeight="1">
      <c r="D819" s="667"/>
      <c r="E819" s="667"/>
      <c r="G819" s="743"/>
      <c r="H819" s="743"/>
      <c r="I819" s="743"/>
      <c r="J819" s="743"/>
      <c r="K819" s="743"/>
      <c r="L819" s="743"/>
      <c r="M819" s="743"/>
      <c r="N819" s="744"/>
      <c r="O819" s="744"/>
      <c r="P819" s="744"/>
    </row>
    <row r="820" spans="4:16" s="13" customFormat="1" ht="20.25" customHeight="1">
      <c r="D820" s="667"/>
      <c r="E820" s="667"/>
      <c r="G820" s="743"/>
      <c r="H820" s="743"/>
      <c r="I820" s="743"/>
      <c r="J820" s="743"/>
      <c r="K820" s="743"/>
      <c r="L820" s="743"/>
      <c r="M820" s="743"/>
      <c r="N820" s="744"/>
      <c r="O820" s="744"/>
      <c r="P820" s="744"/>
    </row>
    <row r="821" spans="4:16" s="13" customFormat="1" ht="20.25" customHeight="1">
      <c r="D821" s="667"/>
      <c r="E821" s="667"/>
      <c r="G821" s="743"/>
      <c r="H821" s="743"/>
      <c r="I821" s="743"/>
      <c r="J821" s="743"/>
      <c r="K821" s="743"/>
      <c r="L821" s="743"/>
      <c r="M821" s="743"/>
      <c r="N821" s="744"/>
      <c r="O821" s="744"/>
      <c r="P821" s="744"/>
    </row>
    <row r="822" spans="4:16" s="13" customFormat="1" ht="20.25" customHeight="1">
      <c r="D822" s="667"/>
      <c r="E822" s="667"/>
      <c r="G822" s="743"/>
      <c r="H822" s="743"/>
      <c r="I822" s="743"/>
      <c r="J822" s="743"/>
      <c r="K822" s="743"/>
      <c r="L822" s="743"/>
      <c r="M822" s="743"/>
      <c r="N822" s="744"/>
      <c r="O822" s="744"/>
      <c r="P822" s="744"/>
    </row>
    <row r="823" spans="4:16" s="13" customFormat="1" ht="20.25" customHeight="1">
      <c r="D823" s="667"/>
      <c r="E823" s="667"/>
      <c r="G823" s="743"/>
      <c r="H823" s="743"/>
      <c r="I823" s="743"/>
      <c r="J823" s="743"/>
      <c r="K823" s="743"/>
      <c r="L823" s="743"/>
      <c r="M823" s="743"/>
      <c r="N823" s="744"/>
      <c r="O823" s="744"/>
      <c r="P823" s="744"/>
    </row>
    <row r="824" spans="4:16" s="13" customFormat="1" ht="20.25" customHeight="1">
      <c r="D824" s="667"/>
      <c r="E824" s="667"/>
      <c r="G824" s="743"/>
      <c r="H824" s="743"/>
      <c r="I824" s="743"/>
      <c r="J824" s="743"/>
      <c r="K824" s="743"/>
      <c r="L824" s="743"/>
      <c r="M824" s="743"/>
      <c r="N824" s="744"/>
      <c r="O824" s="744"/>
      <c r="P824" s="744"/>
    </row>
    <row r="825" spans="4:16" s="13" customFormat="1" ht="20.25" customHeight="1">
      <c r="D825" s="667"/>
      <c r="E825" s="667"/>
      <c r="G825" s="743"/>
      <c r="H825" s="743"/>
      <c r="I825" s="743"/>
      <c r="J825" s="743"/>
      <c r="K825" s="743"/>
      <c r="L825" s="743"/>
      <c r="M825" s="743"/>
      <c r="N825" s="744"/>
      <c r="O825" s="744"/>
      <c r="P825" s="744"/>
    </row>
    <row r="826" spans="4:16" s="13" customFormat="1" ht="20.25" customHeight="1">
      <c r="D826" s="667"/>
      <c r="E826" s="667"/>
      <c r="G826" s="743"/>
      <c r="H826" s="743"/>
      <c r="I826" s="743"/>
      <c r="J826" s="743"/>
      <c r="K826" s="743"/>
      <c r="L826" s="743"/>
      <c r="M826" s="743"/>
      <c r="N826" s="744"/>
      <c r="O826" s="744"/>
      <c r="P826" s="744"/>
    </row>
    <row r="827" spans="4:16" s="13" customFormat="1" ht="20.25" customHeight="1">
      <c r="D827" s="667"/>
      <c r="E827" s="667"/>
      <c r="G827" s="743"/>
      <c r="H827" s="743"/>
      <c r="I827" s="743"/>
      <c r="J827" s="743"/>
      <c r="K827" s="743"/>
      <c r="L827" s="743"/>
      <c r="M827" s="743"/>
      <c r="N827" s="744"/>
      <c r="O827" s="744"/>
      <c r="P827" s="744"/>
    </row>
    <row r="828" spans="4:16" s="13" customFormat="1" ht="20.25" customHeight="1">
      <c r="D828" s="667"/>
      <c r="E828" s="667"/>
      <c r="G828" s="743"/>
      <c r="H828" s="743"/>
      <c r="I828" s="743"/>
      <c r="J828" s="743"/>
      <c r="K828" s="743"/>
      <c r="L828" s="743"/>
      <c r="M828" s="743"/>
      <c r="N828" s="744"/>
      <c r="O828" s="744"/>
      <c r="P828" s="744"/>
    </row>
    <row r="829" spans="4:16" s="13" customFormat="1" ht="20.25" customHeight="1">
      <c r="D829" s="667"/>
      <c r="E829" s="667"/>
      <c r="G829" s="743"/>
      <c r="H829" s="743"/>
      <c r="I829" s="743"/>
      <c r="J829" s="743"/>
      <c r="K829" s="743"/>
      <c r="L829" s="743"/>
      <c r="M829" s="743"/>
      <c r="N829" s="744"/>
      <c r="O829" s="744"/>
      <c r="P829" s="744"/>
    </row>
    <row r="830" spans="4:16" s="13" customFormat="1" ht="20.25" customHeight="1">
      <c r="D830" s="667"/>
      <c r="E830" s="667"/>
      <c r="G830" s="743"/>
      <c r="H830" s="743"/>
      <c r="I830" s="743"/>
      <c r="J830" s="743"/>
      <c r="K830" s="743"/>
      <c r="L830" s="743"/>
      <c r="M830" s="743"/>
      <c r="N830" s="744"/>
      <c r="O830" s="744"/>
      <c r="P830" s="744"/>
    </row>
    <row r="831" spans="4:16" s="13" customFormat="1" ht="20.25" customHeight="1">
      <c r="D831" s="667"/>
      <c r="E831" s="667"/>
      <c r="G831" s="743"/>
      <c r="H831" s="743"/>
      <c r="I831" s="743"/>
      <c r="J831" s="743"/>
      <c r="K831" s="743"/>
      <c r="L831" s="743"/>
      <c r="M831" s="743"/>
      <c r="N831" s="744"/>
      <c r="O831" s="744"/>
      <c r="P831" s="744"/>
    </row>
    <row r="832" spans="4:16" s="13" customFormat="1" ht="20.25" customHeight="1">
      <c r="D832" s="667"/>
      <c r="E832" s="667"/>
      <c r="G832" s="743"/>
      <c r="H832" s="743"/>
      <c r="I832" s="743"/>
      <c r="J832" s="743"/>
      <c r="K832" s="743"/>
      <c r="L832" s="743"/>
      <c r="M832" s="743"/>
      <c r="N832" s="744"/>
      <c r="O832" s="744"/>
      <c r="P832" s="744"/>
    </row>
    <row r="833" spans="4:16" s="13" customFormat="1" ht="20.25" customHeight="1">
      <c r="D833" s="667"/>
      <c r="E833" s="667"/>
      <c r="G833" s="743"/>
      <c r="H833" s="743"/>
      <c r="I833" s="743"/>
      <c r="J833" s="743"/>
      <c r="K833" s="743"/>
      <c r="L833" s="743"/>
      <c r="M833" s="743"/>
      <c r="N833" s="744"/>
      <c r="O833" s="744"/>
      <c r="P833" s="744"/>
    </row>
    <row r="834" spans="4:16" s="13" customFormat="1" ht="20.25" customHeight="1">
      <c r="D834" s="667"/>
      <c r="E834" s="667"/>
      <c r="G834" s="743"/>
      <c r="H834" s="743"/>
      <c r="I834" s="743"/>
      <c r="J834" s="743"/>
      <c r="K834" s="743"/>
      <c r="L834" s="743"/>
      <c r="M834" s="743"/>
      <c r="N834" s="744"/>
      <c r="O834" s="744"/>
      <c r="P834" s="744"/>
    </row>
    <row r="835" spans="4:16" s="13" customFormat="1" ht="20.25" customHeight="1">
      <c r="D835" s="667"/>
      <c r="E835" s="667"/>
      <c r="G835" s="743"/>
      <c r="H835" s="743"/>
      <c r="I835" s="743"/>
      <c r="J835" s="743"/>
      <c r="K835" s="743"/>
      <c r="L835" s="743"/>
      <c r="M835" s="743"/>
      <c r="N835" s="744"/>
      <c r="O835" s="744"/>
      <c r="P835" s="744"/>
    </row>
    <row r="836" spans="4:16" s="13" customFormat="1" ht="20.25" customHeight="1">
      <c r="D836" s="667"/>
      <c r="E836" s="667"/>
      <c r="G836" s="743"/>
      <c r="H836" s="743"/>
      <c r="I836" s="743"/>
      <c r="J836" s="743"/>
      <c r="K836" s="743"/>
      <c r="L836" s="743"/>
      <c r="M836" s="743"/>
      <c r="N836" s="744"/>
      <c r="O836" s="744"/>
      <c r="P836" s="744"/>
    </row>
    <row r="837" spans="4:16" s="13" customFormat="1" ht="20.25" customHeight="1">
      <c r="D837" s="667"/>
      <c r="E837" s="667"/>
      <c r="G837" s="743"/>
      <c r="H837" s="743"/>
      <c r="I837" s="743"/>
      <c r="J837" s="743"/>
      <c r="K837" s="743"/>
      <c r="L837" s="743"/>
      <c r="M837" s="743"/>
      <c r="N837" s="744"/>
      <c r="O837" s="744"/>
      <c r="P837" s="744"/>
    </row>
    <row r="838" spans="4:16" s="13" customFormat="1" ht="20.25" customHeight="1">
      <c r="D838" s="667"/>
      <c r="E838" s="667"/>
      <c r="G838" s="743"/>
      <c r="H838" s="743"/>
      <c r="I838" s="743"/>
      <c r="J838" s="743"/>
      <c r="K838" s="743"/>
      <c r="L838" s="743"/>
      <c r="M838" s="743"/>
      <c r="N838" s="744"/>
      <c r="O838" s="744"/>
      <c r="P838" s="744"/>
    </row>
    <row r="839" spans="4:16" s="13" customFormat="1" ht="20.25" customHeight="1">
      <c r="D839" s="667"/>
      <c r="E839" s="667"/>
      <c r="G839" s="743"/>
      <c r="H839" s="743"/>
      <c r="I839" s="743"/>
      <c r="J839" s="743"/>
      <c r="K839" s="743"/>
      <c r="L839" s="743"/>
      <c r="M839" s="743"/>
      <c r="N839" s="744"/>
      <c r="O839" s="744"/>
      <c r="P839" s="744"/>
    </row>
    <row r="840" spans="4:16" s="13" customFormat="1" ht="20.25" customHeight="1">
      <c r="D840" s="667"/>
      <c r="E840" s="667"/>
      <c r="G840" s="743"/>
      <c r="H840" s="743"/>
      <c r="I840" s="743"/>
      <c r="J840" s="743"/>
      <c r="K840" s="743"/>
      <c r="L840" s="743"/>
      <c r="M840" s="743"/>
      <c r="N840" s="744"/>
      <c r="O840" s="744"/>
      <c r="P840" s="744"/>
    </row>
    <row r="841" spans="4:16" s="13" customFormat="1" ht="20.25" customHeight="1">
      <c r="D841" s="667"/>
      <c r="E841" s="667"/>
      <c r="G841" s="743"/>
      <c r="H841" s="743"/>
      <c r="I841" s="743"/>
      <c r="J841" s="743"/>
      <c r="K841" s="743"/>
      <c r="L841" s="743"/>
      <c r="M841" s="743"/>
      <c r="N841" s="744"/>
      <c r="O841" s="744"/>
      <c r="P841" s="744"/>
    </row>
    <row r="842" spans="4:16" s="13" customFormat="1" ht="20.25" customHeight="1">
      <c r="D842" s="667"/>
      <c r="E842" s="667"/>
      <c r="G842" s="743"/>
      <c r="H842" s="743"/>
      <c r="I842" s="743"/>
      <c r="J842" s="743"/>
      <c r="K842" s="743"/>
      <c r="L842" s="743"/>
      <c r="M842" s="743"/>
      <c r="N842" s="744"/>
      <c r="O842" s="744"/>
      <c r="P842" s="744"/>
    </row>
    <row r="843" spans="4:16" s="13" customFormat="1" ht="20.25" customHeight="1">
      <c r="D843" s="667"/>
      <c r="E843" s="667"/>
      <c r="G843" s="743"/>
      <c r="H843" s="743"/>
      <c r="I843" s="743"/>
      <c r="J843" s="743"/>
      <c r="K843" s="743"/>
      <c r="L843" s="743"/>
      <c r="M843" s="743"/>
      <c r="N843" s="744"/>
      <c r="O843" s="744"/>
      <c r="P843" s="744"/>
    </row>
    <row r="844" spans="4:16" s="13" customFormat="1" ht="20.25" customHeight="1">
      <c r="D844" s="667"/>
      <c r="E844" s="667"/>
      <c r="G844" s="743"/>
      <c r="H844" s="743"/>
      <c r="I844" s="743"/>
      <c r="J844" s="743"/>
      <c r="K844" s="743"/>
      <c r="L844" s="743"/>
      <c r="M844" s="743"/>
      <c r="N844" s="744"/>
      <c r="O844" s="744"/>
      <c r="P844" s="744"/>
    </row>
    <row r="845" spans="4:16" s="13" customFormat="1" ht="20.25" customHeight="1">
      <c r="D845" s="667"/>
      <c r="E845" s="667"/>
      <c r="G845" s="743"/>
      <c r="H845" s="743"/>
      <c r="I845" s="743"/>
      <c r="J845" s="743"/>
      <c r="K845" s="743"/>
      <c r="L845" s="743"/>
      <c r="M845" s="743"/>
      <c r="N845" s="744"/>
      <c r="O845" s="744"/>
      <c r="P845" s="744"/>
    </row>
    <row r="846" spans="4:16" s="13" customFormat="1" ht="20.25" customHeight="1">
      <c r="D846" s="667"/>
      <c r="E846" s="667"/>
      <c r="G846" s="743"/>
      <c r="H846" s="743"/>
      <c r="I846" s="743"/>
      <c r="J846" s="743"/>
      <c r="K846" s="743"/>
      <c r="L846" s="743"/>
      <c r="M846" s="743"/>
      <c r="N846" s="744"/>
      <c r="O846" s="744"/>
      <c r="P846" s="744"/>
    </row>
    <row r="847" spans="4:16" s="13" customFormat="1" ht="20.25" customHeight="1">
      <c r="D847" s="667"/>
      <c r="E847" s="667"/>
      <c r="G847" s="743"/>
      <c r="H847" s="743"/>
      <c r="I847" s="743"/>
      <c r="J847" s="743"/>
      <c r="K847" s="743"/>
      <c r="L847" s="743"/>
      <c r="M847" s="743"/>
      <c r="N847" s="744"/>
      <c r="O847" s="744"/>
      <c r="P847" s="744"/>
    </row>
    <row r="848" spans="4:16" s="13" customFormat="1" ht="20.25" customHeight="1">
      <c r="D848" s="667"/>
      <c r="E848" s="667"/>
      <c r="G848" s="743"/>
      <c r="H848" s="743"/>
      <c r="I848" s="743"/>
      <c r="J848" s="743"/>
      <c r="K848" s="743"/>
      <c r="L848" s="743"/>
      <c r="M848" s="743"/>
      <c r="N848" s="744"/>
      <c r="O848" s="744"/>
      <c r="P848" s="744"/>
    </row>
    <row r="849" spans="4:16" s="13" customFormat="1" ht="20.25" customHeight="1">
      <c r="D849" s="667"/>
      <c r="E849" s="667"/>
      <c r="G849" s="743"/>
      <c r="H849" s="743"/>
      <c r="I849" s="743"/>
      <c r="J849" s="743"/>
      <c r="K849" s="743"/>
      <c r="L849" s="743"/>
      <c r="M849" s="743"/>
      <c r="N849" s="744"/>
      <c r="O849" s="744"/>
      <c r="P849" s="744"/>
    </row>
    <row r="850" spans="4:16" s="13" customFormat="1" ht="20.25" customHeight="1">
      <c r="D850" s="667"/>
      <c r="E850" s="667"/>
      <c r="G850" s="743"/>
      <c r="H850" s="743"/>
      <c r="I850" s="743"/>
      <c r="J850" s="743"/>
      <c r="K850" s="743"/>
      <c r="L850" s="743"/>
      <c r="M850" s="743"/>
      <c r="N850" s="744"/>
      <c r="O850" s="744"/>
      <c r="P850" s="744"/>
    </row>
    <row r="851" spans="4:16" s="13" customFormat="1" ht="20.25" customHeight="1">
      <c r="D851" s="667"/>
      <c r="E851" s="667"/>
      <c r="G851" s="743"/>
      <c r="H851" s="743"/>
      <c r="I851" s="743"/>
      <c r="J851" s="743"/>
      <c r="K851" s="743"/>
      <c r="L851" s="743"/>
      <c r="M851" s="743"/>
      <c r="N851" s="744"/>
      <c r="O851" s="744"/>
      <c r="P851" s="744"/>
    </row>
    <row r="852" spans="4:16" s="13" customFormat="1" ht="20.25" customHeight="1">
      <c r="D852" s="667"/>
      <c r="E852" s="667"/>
      <c r="G852" s="743"/>
      <c r="H852" s="743"/>
      <c r="I852" s="743"/>
      <c r="J852" s="743"/>
      <c r="K852" s="743"/>
      <c r="L852" s="743"/>
      <c r="M852" s="743"/>
      <c r="N852" s="744"/>
      <c r="O852" s="744"/>
      <c r="P852" s="744"/>
    </row>
    <row r="853" spans="4:16" s="13" customFormat="1" ht="20.25" customHeight="1">
      <c r="D853" s="667"/>
      <c r="E853" s="667"/>
      <c r="G853" s="743"/>
      <c r="H853" s="743"/>
      <c r="I853" s="743"/>
      <c r="J853" s="743"/>
      <c r="K853" s="743"/>
      <c r="L853" s="743"/>
      <c r="M853" s="743"/>
      <c r="N853" s="744"/>
      <c r="O853" s="744"/>
      <c r="P853" s="744"/>
    </row>
    <row r="854" spans="4:16" s="13" customFormat="1" ht="20.25" customHeight="1">
      <c r="D854" s="667"/>
      <c r="E854" s="667"/>
      <c r="G854" s="743"/>
      <c r="H854" s="743"/>
      <c r="I854" s="743"/>
      <c r="J854" s="743"/>
      <c r="K854" s="743"/>
      <c r="L854" s="743"/>
      <c r="M854" s="743"/>
      <c r="N854" s="744"/>
      <c r="O854" s="744"/>
      <c r="P854" s="744"/>
    </row>
    <row r="855" spans="4:16" s="13" customFormat="1" ht="20.25" customHeight="1">
      <c r="D855" s="667"/>
      <c r="E855" s="667"/>
      <c r="G855" s="743"/>
      <c r="H855" s="743"/>
      <c r="I855" s="743"/>
      <c r="J855" s="743"/>
      <c r="K855" s="743"/>
      <c r="L855" s="743"/>
      <c r="M855" s="743"/>
      <c r="N855" s="744"/>
      <c r="O855" s="744"/>
      <c r="P855" s="744"/>
    </row>
    <row r="856" spans="4:16" s="13" customFormat="1" ht="20.25" customHeight="1">
      <c r="D856" s="667"/>
      <c r="E856" s="667"/>
      <c r="G856" s="743"/>
      <c r="H856" s="743"/>
      <c r="I856" s="743"/>
      <c r="J856" s="743"/>
      <c r="K856" s="743"/>
      <c r="L856" s="743"/>
      <c r="M856" s="743"/>
      <c r="N856" s="744"/>
      <c r="O856" s="744"/>
      <c r="P856" s="744"/>
    </row>
    <row r="857" spans="4:16" s="13" customFormat="1" ht="20.25" customHeight="1">
      <c r="D857" s="667"/>
      <c r="E857" s="667"/>
      <c r="G857" s="743"/>
      <c r="H857" s="743"/>
      <c r="I857" s="743"/>
      <c r="J857" s="743"/>
      <c r="K857" s="743"/>
      <c r="L857" s="743"/>
      <c r="M857" s="743"/>
      <c r="N857" s="744"/>
      <c r="O857" s="744"/>
      <c r="P857" s="744"/>
    </row>
    <row r="858" spans="4:16" s="13" customFormat="1" ht="20.25" customHeight="1">
      <c r="D858" s="667"/>
      <c r="E858" s="667"/>
      <c r="G858" s="743"/>
      <c r="H858" s="743"/>
      <c r="I858" s="743"/>
      <c r="J858" s="743"/>
      <c r="K858" s="743"/>
      <c r="L858" s="743"/>
      <c r="M858" s="743"/>
      <c r="N858" s="744"/>
      <c r="O858" s="744"/>
      <c r="P858" s="744"/>
    </row>
    <row r="859" spans="4:16" s="13" customFormat="1" ht="20.25" customHeight="1">
      <c r="D859" s="667"/>
      <c r="E859" s="667"/>
      <c r="G859" s="743"/>
      <c r="H859" s="743"/>
      <c r="I859" s="743"/>
      <c r="J859" s="743"/>
      <c r="K859" s="743"/>
      <c r="L859" s="743"/>
      <c r="M859" s="743"/>
      <c r="N859" s="744"/>
      <c r="O859" s="744"/>
      <c r="P859" s="744"/>
    </row>
    <row r="860" spans="4:16" s="13" customFormat="1" ht="20.25" customHeight="1">
      <c r="D860" s="667"/>
      <c r="E860" s="667"/>
      <c r="G860" s="743"/>
      <c r="H860" s="743"/>
      <c r="I860" s="743"/>
      <c r="J860" s="743"/>
      <c r="K860" s="743"/>
      <c r="L860" s="743"/>
      <c r="M860" s="743"/>
      <c r="N860" s="744"/>
      <c r="O860" s="744"/>
      <c r="P860" s="744"/>
    </row>
    <row r="861" spans="4:16" s="13" customFormat="1" ht="20.25" customHeight="1">
      <c r="D861" s="667"/>
      <c r="E861" s="667"/>
      <c r="G861" s="743"/>
      <c r="H861" s="743"/>
      <c r="I861" s="743"/>
      <c r="J861" s="743"/>
      <c r="K861" s="743"/>
      <c r="L861" s="743"/>
      <c r="M861" s="743"/>
      <c r="N861" s="744"/>
      <c r="O861" s="744"/>
      <c r="P861" s="744"/>
    </row>
    <row r="862" spans="4:16" s="13" customFormat="1" ht="20.25" customHeight="1">
      <c r="D862" s="667"/>
      <c r="E862" s="667"/>
      <c r="G862" s="743"/>
      <c r="H862" s="743"/>
      <c r="I862" s="743"/>
      <c r="J862" s="743"/>
      <c r="K862" s="743"/>
      <c r="L862" s="743"/>
      <c r="M862" s="743"/>
      <c r="N862" s="744"/>
      <c r="O862" s="744"/>
      <c r="P862" s="744"/>
    </row>
    <row r="863" spans="4:16" s="13" customFormat="1" ht="20.25" customHeight="1">
      <c r="D863" s="667"/>
      <c r="E863" s="667"/>
      <c r="G863" s="743"/>
      <c r="H863" s="743"/>
      <c r="I863" s="743"/>
      <c r="J863" s="743"/>
      <c r="K863" s="743"/>
      <c r="L863" s="743"/>
      <c r="M863" s="743"/>
      <c r="N863" s="744"/>
      <c r="O863" s="744"/>
      <c r="P863" s="744"/>
    </row>
    <row r="864" spans="4:16" s="13" customFormat="1" ht="20.25" customHeight="1">
      <c r="D864" s="667"/>
      <c r="E864" s="667"/>
      <c r="G864" s="743"/>
      <c r="H864" s="743"/>
      <c r="I864" s="743"/>
      <c r="J864" s="743"/>
      <c r="K864" s="743"/>
      <c r="L864" s="743"/>
      <c r="M864" s="743"/>
      <c r="N864" s="744"/>
      <c r="O864" s="744"/>
      <c r="P864" s="744"/>
    </row>
    <row r="865" spans="4:16" s="13" customFormat="1" ht="20.25" customHeight="1">
      <c r="D865" s="667"/>
      <c r="E865" s="667"/>
      <c r="G865" s="743"/>
      <c r="H865" s="743"/>
      <c r="I865" s="743"/>
      <c r="J865" s="743"/>
      <c r="K865" s="743"/>
      <c r="L865" s="743"/>
      <c r="M865" s="743"/>
      <c r="N865" s="744"/>
      <c r="O865" s="744"/>
      <c r="P865" s="744"/>
    </row>
    <row r="866" spans="4:16" s="13" customFormat="1" ht="20.25" customHeight="1">
      <c r="D866" s="667"/>
      <c r="E866" s="667"/>
      <c r="G866" s="743"/>
      <c r="H866" s="743"/>
      <c r="I866" s="743"/>
      <c r="J866" s="743"/>
      <c r="K866" s="743"/>
      <c r="L866" s="743"/>
      <c r="M866" s="743"/>
      <c r="N866" s="744"/>
      <c r="O866" s="744"/>
      <c r="P866" s="744"/>
    </row>
    <row r="867" spans="4:16" s="13" customFormat="1" ht="20.25" customHeight="1">
      <c r="D867" s="667"/>
      <c r="E867" s="667"/>
      <c r="G867" s="743"/>
      <c r="H867" s="743"/>
      <c r="I867" s="743"/>
      <c r="J867" s="743"/>
      <c r="K867" s="743"/>
      <c r="L867" s="743"/>
      <c r="M867" s="743"/>
      <c r="N867" s="744"/>
      <c r="O867" s="744"/>
      <c r="P867" s="744"/>
    </row>
    <row r="868" spans="4:16" s="13" customFormat="1" ht="20.25" customHeight="1">
      <c r="D868" s="667"/>
      <c r="E868" s="667"/>
      <c r="G868" s="743"/>
      <c r="H868" s="743"/>
      <c r="I868" s="743"/>
      <c r="J868" s="743"/>
      <c r="K868" s="743"/>
      <c r="L868" s="743"/>
      <c r="M868" s="743"/>
      <c r="N868" s="744"/>
      <c r="O868" s="744"/>
      <c r="P868" s="744"/>
    </row>
    <row r="869" spans="4:16" s="13" customFormat="1" ht="20.25" customHeight="1">
      <c r="D869" s="667"/>
      <c r="E869" s="667"/>
      <c r="G869" s="743"/>
      <c r="H869" s="743"/>
      <c r="I869" s="743"/>
      <c r="J869" s="743"/>
      <c r="K869" s="743"/>
      <c r="L869" s="743"/>
      <c r="M869" s="743"/>
      <c r="N869" s="744"/>
      <c r="O869" s="744"/>
      <c r="P869" s="744"/>
    </row>
    <row r="870" spans="4:16" s="13" customFormat="1" ht="20.25" customHeight="1">
      <c r="D870" s="667"/>
      <c r="E870" s="667"/>
      <c r="G870" s="743"/>
      <c r="H870" s="743"/>
      <c r="I870" s="743"/>
      <c r="J870" s="743"/>
      <c r="K870" s="743"/>
      <c r="L870" s="743"/>
      <c r="M870" s="743"/>
      <c r="N870" s="744"/>
      <c r="O870" s="744"/>
      <c r="P870" s="744"/>
    </row>
    <row r="871" spans="4:16" s="13" customFormat="1" ht="20.25" customHeight="1">
      <c r="D871" s="667"/>
      <c r="E871" s="667"/>
      <c r="G871" s="743"/>
      <c r="H871" s="743"/>
      <c r="I871" s="743"/>
      <c r="J871" s="743"/>
      <c r="K871" s="743"/>
      <c r="L871" s="743"/>
      <c r="M871" s="743"/>
      <c r="N871" s="744"/>
      <c r="O871" s="744"/>
      <c r="P871" s="744"/>
    </row>
    <row r="872" spans="4:16" s="13" customFormat="1" ht="20.25" customHeight="1">
      <c r="D872" s="667"/>
      <c r="E872" s="667"/>
      <c r="G872" s="743"/>
      <c r="H872" s="743"/>
      <c r="I872" s="743"/>
      <c r="J872" s="743"/>
      <c r="K872" s="743"/>
      <c r="L872" s="743"/>
      <c r="M872" s="743"/>
      <c r="N872" s="744"/>
      <c r="O872" s="744"/>
      <c r="P872" s="744"/>
    </row>
    <row r="873" spans="4:16" s="13" customFormat="1" ht="20.25" customHeight="1">
      <c r="D873" s="667"/>
      <c r="E873" s="667"/>
      <c r="G873" s="743"/>
      <c r="H873" s="743"/>
      <c r="I873" s="743"/>
      <c r="J873" s="743"/>
      <c r="K873" s="743"/>
      <c r="L873" s="743"/>
      <c r="M873" s="743"/>
      <c r="N873" s="744"/>
      <c r="O873" s="744"/>
      <c r="P873" s="744"/>
    </row>
    <row r="874" spans="4:16" s="13" customFormat="1" ht="20.25" customHeight="1">
      <c r="D874" s="667"/>
      <c r="E874" s="667"/>
      <c r="G874" s="743"/>
      <c r="H874" s="743"/>
      <c r="I874" s="743"/>
      <c r="J874" s="743"/>
      <c r="K874" s="743"/>
      <c r="L874" s="743"/>
      <c r="M874" s="743"/>
      <c r="N874" s="744"/>
      <c r="O874" s="744"/>
      <c r="P874" s="744"/>
    </row>
    <row r="875" spans="4:16" s="13" customFormat="1" ht="20.25" customHeight="1">
      <c r="D875" s="667"/>
      <c r="E875" s="667"/>
      <c r="G875" s="743"/>
      <c r="H875" s="743"/>
      <c r="I875" s="743"/>
      <c r="J875" s="743"/>
      <c r="K875" s="743"/>
      <c r="L875" s="743"/>
      <c r="M875" s="743"/>
      <c r="N875" s="744"/>
      <c r="O875" s="744"/>
      <c r="P875" s="744"/>
    </row>
    <row r="876" spans="4:16" s="13" customFormat="1" ht="20.25" customHeight="1">
      <c r="D876" s="667"/>
      <c r="E876" s="667"/>
      <c r="G876" s="743"/>
      <c r="H876" s="743"/>
      <c r="I876" s="743"/>
      <c r="J876" s="743"/>
      <c r="K876" s="743"/>
      <c r="L876" s="743"/>
      <c r="M876" s="743"/>
      <c r="N876" s="744"/>
      <c r="O876" s="744"/>
      <c r="P876" s="744"/>
    </row>
    <row r="877" spans="4:16" s="13" customFormat="1" ht="20.25" customHeight="1">
      <c r="D877" s="667"/>
      <c r="E877" s="667"/>
      <c r="G877" s="743"/>
      <c r="H877" s="743"/>
      <c r="I877" s="743"/>
      <c r="J877" s="743"/>
      <c r="K877" s="743"/>
      <c r="L877" s="743"/>
      <c r="M877" s="743"/>
      <c r="N877" s="744"/>
      <c r="O877" s="744"/>
      <c r="P877" s="744"/>
    </row>
    <row r="878" spans="4:16" s="13" customFormat="1" ht="20.25" customHeight="1">
      <c r="D878" s="667"/>
      <c r="E878" s="667"/>
      <c r="G878" s="743"/>
      <c r="H878" s="743"/>
      <c r="I878" s="743"/>
      <c r="J878" s="743"/>
      <c r="K878" s="743"/>
      <c r="L878" s="743"/>
      <c r="M878" s="743"/>
      <c r="N878" s="744"/>
      <c r="O878" s="744"/>
      <c r="P878" s="744"/>
    </row>
    <row r="879" spans="4:16" s="13" customFormat="1" ht="20.25" customHeight="1">
      <c r="D879" s="667"/>
      <c r="E879" s="667"/>
      <c r="G879" s="743"/>
      <c r="H879" s="743"/>
      <c r="I879" s="743"/>
      <c r="J879" s="743"/>
      <c r="K879" s="743"/>
      <c r="L879" s="743"/>
      <c r="M879" s="743"/>
      <c r="N879" s="744"/>
      <c r="O879" s="744"/>
      <c r="P879" s="744"/>
    </row>
    <row r="880" spans="4:16" s="13" customFormat="1" ht="20.25" customHeight="1">
      <c r="D880" s="667"/>
      <c r="E880" s="667"/>
      <c r="G880" s="743"/>
      <c r="H880" s="743"/>
      <c r="I880" s="743"/>
      <c r="J880" s="743"/>
      <c r="K880" s="743"/>
      <c r="L880" s="743"/>
      <c r="M880" s="743"/>
      <c r="N880" s="744"/>
      <c r="O880" s="744"/>
      <c r="P880" s="744"/>
    </row>
    <row r="881" spans="4:16" s="13" customFormat="1" ht="20.25" customHeight="1">
      <c r="D881" s="667"/>
      <c r="E881" s="667"/>
      <c r="G881" s="743"/>
      <c r="H881" s="743"/>
      <c r="I881" s="743"/>
      <c r="J881" s="743"/>
      <c r="K881" s="743"/>
      <c r="L881" s="743"/>
      <c r="M881" s="743"/>
      <c r="N881" s="744"/>
      <c r="O881" s="744"/>
      <c r="P881" s="744"/>
    </row>
    <row r="882" spans="4:16" s="13" customFormat="1" ht="20.25" customHeight="1">
      <c r="D882" s="667"/>
      <c r="E882" s="667"/>
      <c r="G882" s="743"/>
      <c r="H882" s="743"/>
      <c r="I882" s="743"/>
      <c r="J882" s="743"/>
      <c r="K882" s="743"/>
      <c r="L882" s="743"/>
      <c r="M882" s="743"/>
      <c r="N882" s="744"/>
      <c r="O882" s="744"/>
      <c r="P882" s="744"/>
    </row>
    <row r="883" spans="4:16" s="13" customFormat="1" ht="20.25" customHeight="1">
      <c r="D883" s="667"/>
      <c r="E883" s="667"/>
      <c r="G883" s="743"/>
      <c r="H883" s="743"/>
      <c r="I883" s="743"/>
      <c r="J883" s="743"/>
      <c r="K883" s="743"/>
      <c r="L883" s="743"/>
      <c r="M883" s="743"/>
      <c r="N883" s="744"/>
      <c r="O883" s="744"/>
      <c r="P883" s="744"/>
    </row>
    <row r="884" spans="4:16" s="13" customFormat="1" ht="20.25" customHeight="1">
      <c r="D884" s="667"/>
      <c r="E884" s="667"/>
      <c r="G884" s="743"/>
      <c r="H884" s="743"/>
      <c r="I884" s="743"/>
      <c r="J884" s="743"/>
      <c r="K884" s="743"/>
      <c r="L884" s="743"/>
      <c r="M884" s="743"/>
      <c r="N884" s="744"/>
      <c r="O884" s="744"/>
      <c r="P884" s="744"/>
    </row>
    <row r="885" spans="4:16" s="13" customFormat="1" ht="20.25" customHeight="1">
      <c r="D885" s="667"/>
      <c r="E885" s="667"/>
      <c r="G885" s="743"/>
      <c r="H885" s="743"/>
      <c r="I885" s="743"/>
      <c r="J885" s="743"/>
      <c r="K885" s="743"/>
      <c r="L885" s="743"/>
      <c r="M885" s="743"/>
      <c r="N885" s="744"/>
      <c r="O885" s="744"/>
      <c r="P885" s="744"/>
    </row>
    <row r="886" spans="4:16" s="13" customFormat="1" ht="20.25" customHeight="1">
      <c r="D886" s="667"/>
      <c r="E886" s="667"/>
      <c r="G886" s="743"/>
      <c r="H886" s="743"/>
      <c r="I886" s="743"/>
      <c r="J886" s="743"/>
      <c r="K886" s="743"/>
      <c r="L886" s="743"/>
      <c r="M886" s="743"/>
      <c r="N886" s="744"/>
      <c r="O886" s="744"/>
      <c r="P886" s="744"/>
    </row>
    <row r="887" spans="4:16" s="13" customFormat="1" ht="20.25" customHeight="1">
      <c r="D887" s="667"/>
      <c r="E887" s="667"/>
      <c r="G887" s="743"/>
      <c r="H887" s="743"/>
      <c r="I887" s="743"/>
      <c r="J887" s="743"/>
      <c r="K887" s="743"/>
      <c r="L887" s="743"/>
      <c r="M887" s="743"/>
      <c r="N887" s="744"/>
      <c r="O887" s="744"/>
      <c r="P887" s="744"/>
    </row>
    <row r="888" spans="4:16" s="13" customFormat="1" ht="20.25" customHeight="1">
      <c r="D888" s="667"/>
      <c r="E888" s="667"/>
      <c r="G888" s="743"/>
      <c r="H888" s="743"/>
      <c r="I888" s="743"/>
      <c r="J888" s="743"/>
      <c r="K888" s="743"/>
      <c r="L888" s="743"/>
      <c r="M888" s="743"/>
      <c r="N888" s="744"/>
      <c r="O888" s="744"/>
      <c r="P888" s="744"/>
    </row>
    <row r="889" spans="4:16" s="13" customFormat="1" ht="20.25" customHeight="1">
      <c r="D889" s="667"/>
      <c r="E889" s="667"/>
      <c r="G889" s="743"/>
      <c r="H889" s="743"/>
      <c r="I889" s="743"/>
      <c r="J889" s="743"/>
      <c r="K889" s="743"/>
      <c r="L889" s="743"/>
      <c r="M889" s="743"/>
      <c r="N889" s="744"/>
      <c r="O889" s="744"/>
      <c r="P889" s="744"/>
    </row>
    <row r="890" spans="4:16" s="13" customFormat="1" ht="20.25" customHeight="1">
      <c r="D890" s="667"/>
      <c r="E890" s="667"/>
      <c r="G890" s="743"/>
      <c r="H890" s="743"/>
      <c r="I890" s="743"/>
      <c r="J890" s="743"/>
      <c r="K890" s="743"/>
      <c r="L890" s="743"/>
      <c r="M890" s="743"/>
      <c r="N890" s="744"/>
      <c r="O890" s="744"/>
      <c r="P890" s="744"/>
    </row>
    <row r="891" spans="4:16" s="13" customFormat="1" ht="20.25" customHeight="1">
      <c r="D891" s="667"/>
      <c r="E891" s="667"/>
      <c r="G891" s="743"/>
      <c r="H891" s="743"/>
      <c r="I891" s="743"/>
      <c r="J891" s="743"/>
      <c r="K891" s="743"/>
      <c r="L891" s="743"/>
      <c r="M891" s="743"/>
      <c r="N891" s="744"/>
      <c r="O891" s="744"/>
      <c r="P891" s="744"/>
    </row>
    <row r="892" spans="4:16" s="13" customFormat="1" ht="20.25" customHeight="1">
      <c r="D892" s="667"/>
      <c r="E892" s="667"/>
      <c r="G892" s="743"/>
      <c r="H892" s="743"/>
      <c r="I892" s="743"/>
      <c r="J892" s="743"/>
      <c r="K892" s="743"/>
      <c r="L892" s="743"/>
      <c r="M892" s="743"/>
      <c r="N892" s="744"/>
      <c r="O892" s="744"/>
      <c r="P892" s="744"/>
    </row>
    <row r="893" spans="4:16" s="13" customFormat="1" ht="20.25" customHeight="1">
      <c r="D893" s="667"/>
      <c r="E893" s="667"/>
      <c r="G893" s="743"/>
      <c r="H893" s="743"/>
      <c r="I893" s="743"/>
      <c r="J893" s="743"/>
      <c r="K893" s="743"/>
      <c r="L893" s="743"/>
      <c r="M893" s="743"/>
      <c r="N893" s="744"/>
      <c r="O893" s="744"/>
      <c r="P893" s="744"/>
    </row>
    <row r="894" spans="4:16" s="13" customFormat="1" ht="20.25" customHeight="1">
      <c r="D894" s="667"/>
      <c r="E894" s="667"/>
      <c r="G894" s="743"/>
      <c r="H894" s="743"/>
      <c r="I894" s="743"/>
      <c r="J894" s="743"/>
      <c r="K894" s="743"/>
      <c r="L894" s="743"/>
      <c r="M894" s="743"/>
      <c r="N894" s="744"/>
      <c r="O894" s="744"/>
      <c r="P894" s="744"/>
    </row>
    <row r="895" spans="4:16" s="13" customFormat="1" ht="20.25" customHeight="1">
      <c r="D895" s="667"/>
      <c r="E895" s="667"/>
      <c r="G895" s="743"/>
      <c r="H895" s="743"/>
      <c r="I895" s="743"/>
      <c r="J895" s="743"/>
      <c r="K895" s="743"/>
      <c r="L895" s="743"/>
      <c r="M895" s="743"/>
      <c r="N895" s="744"/>
      <c r="O895" s="744"/>
      <c r="P895" s="744"/>
    </row>
    <row r="896" spans="4:16" s="13" customFormat="1" ht="20.25" customHeight="1">
      <c r="D896" s="667"/>
      <c r="E896" s="667"/>
      <c r="G896" s="743"/>
      <c r="H896" s="743"/>
      <c r="I896" s="743"/>
      <c r="J896" s="743"/>
      <c r="K896" s="743"/>
      <c r="L896" s="743"/>
      <c r="M896" s="743"/>
      <c r="N896" s="744"/>
      <c r="O896" s="744"/>
      <c r="P896" s="744"/>
    </row>
    <row r="897" spans="4:16" s="13" customFormat="1" ht="20.25" customHeight="1">
      <c r="D897" s="667"/>
      <c r="E897" s="667"/>
      <c r="G897" s="743"/>
      <c r="H897" s="743"/>
      <c r="I897" s="743"/>
      <c r="J897" s="743"/>
      <c r="K897" s="743"/>
      <c r="L897" s="743"/>
      <c r="M897" s="743"/>
      <c r="N897" s="744"/>
      <c r="O897" s="744"/>
      <c r="P897" s="744"/>
    </row>
    <row r="898" spans="4:16" s="13" customFormat="1" ht="20.25" customHeight="1">
      <c r="D898" s="667"/>
      <c r="E898" s="667"/>
      <c r="G898" s="743"/>
      <c r="H898" s="743"/>
      <c r="I898" s="743"/>
      <c r="J898" s="743"/>
      <c r="K898" s="743"/>
      <c r="L898" s="743"/>
      <c r="M898" s="743"/>
      <c r="N898" s="744"/>
      <c r="O898" s="744"/>
      <c r="P898" s="744"/>
    </row>
    <row r="899" spans="4:16" s="13" customFormat="1" ht="20.25" customHeight="1">
      <c r="D899" s="667"/>
      <c r="E899" s="667"/>
      <c r="G899" s="743"/>
      <c r="H899" s="743"/>
      <c r="I899" s="743"/>
      <c r="J899" s="743"/>
      <c r="K899" s="743"/>
      <c r="L899" s="743"/>
      <c r="M899" s="743"/>
      <c r="N899" s="744"/>
      <c r="O899" s="744"/>
      <c r="P899" s="744"/>
    </row>
    <row r="900" spans="4:16" s="13" customFormat="1" ht="20.25" customHeight="1">
      <c r="D900" s="667"/>
      <c r="E900" s="667"/>
      <c r="G900" s="743"/>
      <c r="H900" s="743"/>
      <c r="I900" s="743"/>
      <c r="J900" s="743"/>
      <c r="K900" s="743"/>
      <c r="L900" s="743"/>
      <c r="M900" s="743"/>
      <c r="N900" s="744"/>
      <c r="O900" s="744"/>
      <c r="P900" s="744"/>
    </row>
    <row r="901" spans="4:16" s="13" customFormat="1" ht="20.25" customHeight="1">
      <c r="D901" s="667"/>
      <c r="E901" s="667"/>
      <c r="G901" s="743"/>
      <c r="H901" s="743"/>
      <c r="I901" s="743"/>
      <c r="J901" s="743"/>
      <c r="K901" s="743"/>
      <c r="L901" s="743"/>
      <c r="M901" s="743"/>
      <c r="N901" s="744"/>
      <c r="O901" s="744"/>
      <c r="P901" s="744"/>
    </row>
    <row r="902" spans="4:16" s="13" customFormat="1" ht="20.25" customHeight="1">
      <c r="D902" s="667"/>
      <c r="E902" s="667"/>
      <c r="G902" s="743"/>
      <c r="H902" s="743"/>
      <c r="I902" s="743"/>
      <c r="J902" s="743"/>
      <c r="K902" s="743"/>
      <c r="L902" s="743"/>
      <c r="M902" s="743"/>
      <c r="N902" s="744"/>
      <c r="O902" s="744"/>
      <c r="P902" s="744"/>
    </row>
    <row r="903" spans="4:16" s="13" customFormat="1" ht="20.25" customHeight="1">
      <c r="D903" s="667"/>
      <c r="E903" s="667"/>
      <c r="G903" s="743"/>
      <c r="H903" s="743"/>
      <c r="I903" s="743"/>
      <c r="J903" s="743"/>
      <c r="K903" s="743"/>
      <c r="L903" s="743"/>
      <c r="M903" s="743"/>
      <c r="N903" s="744"/>
      <c r="O903" s="744"/>
      <c r="P903" s="744"/>
    </row>
    <row r="904" spans="4:16" s="13" customFormat="1" ht="20.25" customHeight="1">
      <c r="D904" s="667"/>
      <c r="E904" s="667"/>
      <c r="G904" s="743"/>
      <c r="H904" s="743"/>
      <c r="I904" s="743"/>
      <c r="J904" s="743"/>
      <c r="K904" s="743"/>
      <c r="L904" s="743"/>
      <c r="M904" s="743"/>
      <c r="N904" s="744"/>
      <c r="O904" s="744"/>
      <c r="P904" s="744"/>
    </row>
    <row r="905" spans="4:16" s="13" customFormat="1" ht="20.25" customHeight="1">
      <c r="D905" s="667"/>
      <c r="E905" s="667"/>
      <c r="G905" s="743"/>
      <c r="H905" s="743"/>
      <c r="I905" s="743"/>
      <c r="J905" s="743"/>
      <c r="K905" s="743"/>
      <c r="L905" s="743"/>
      <c r="M905" s="743"/>
      <c r="N905" s="744"/>
      <c r="O905" s="744"/>
      <c r="P905" s="744"/>
    </row>
    <row r="906" spans="4:16" s="13" customFormat="1" ht="20.25" customHeight="1">
      <c r="D906" s="667"/>
      <c r="E906" s="667"/>
      <c r="G906" s="743"/>
      <c r="H906" s="743"/>
      <c r="I906" s="743"/>
      <c r="J906" s="743"/>
      <c r="K906" s="743"/>
      <c r="L906" s="743"/>
      <c r="M906" s="743"/>
      <c r="N906" s="744"/>
      <c r="O906" s="744"/>
      <c r="P906" s="744"/>
    </row>
    <row r="907" spans="4:16" s="13" customFormat="1" ht="20.25" customHeight="1">
      <c r="D907" s="667"/>
      <c r="E907" s="667"/>
      <c r="G907" s="743"/>
      <c r="H907" s="743"/>
      <c r="I907" s="743"/>
      <c r="J907" s="743"/>
      <c r="K907" s="743"/>
      <c r="L907" s="743"/>
      <c r="M907" s="743"/>
      <c r="N907" s="744"/>
      <c r="O907" s="744"/>
      <c r="P907" s="744"/>
    </row>
    <row r="908" spans="4:16" s="13" customFormat="1" ht="20.25" customHeight="1">
      <c r="D908" s="667"/>
      <c r="E908" s="667"/>
      <c r="G908" s="743"/>
      <c r="H908" s="743"/>
      <c r="I908" s="743"/>
      <c r="J908" s="743"/>
      <c r="K908" s="743"/>
      <c r="L908" s="743"/>
      <c r="M908" s="743"/>
      <c r="N908" s="744"/>
      <c r="O908" s="744"/>
      <c r="P908" s="744"/>
    </row>
    <row r="909" spans="4:16" s="13" customFormat="1" ht="20.25" customHeight="1">
      <c r="D909" s="667"/>
      <c r="E909" s="667"/>
      <c r="G909" s="743"/>
      <c r="H909" s="743"/>
      <c r="I909" s="743"/>
      <c r="J909" s="743"/>
      <c r="K909" s="743"/>
      <c r="L909" s="743"/>
      <c r="M909" s="743"/>
      <c r="N909" s="744"/>
      <c r="O909" s="744"/>
      <c r="P909" s="744"/>
    </row>
    <row r="910" spans="4:16" s="13" customFormat="1" ht="20.25" customHeight="1">
      <c r="D910" s="667"/>
      <c r="E910" s="667"/>
      <c r="G910" s="743"/>
      <c r="H910" s="743"/>
      <c r="I910" s="743"/>
      <c r="J910" s="743"/>
      <c r="K910" s="743"/>
      <c r="L910" s="743"/>
      <c r="M910" s="743"/>
      <c r="N910" s="744"/>
      <c r="O910" s="744"/>
      <c r="P910" s="744"/>
    </row>
    <row r="911" spans="4:16" s="13" customFormat="1" ht="20.25" customHeight="1">
      <c r="D911" s="667"/>
      <c r="E911" s="667"/>
      <c r="G911" s="743"/>
      <c r="H911" s="743"/>
      <c r="I911" s="743"/>
      <c r="J911" s="743"/>
      <c r="K911" s="743"/>
      <c r="L911" s="743"/>
      <c r="M911" s="743"/>
      <c r="N911" s="744"/>
      <c r="O911" s="744"/>
      <c r="P911" s="744"/>
    </row>
    <row r="912" spans="4:16" s="13" customFormat="1" ht="20.25" customHeight="1">
      <c r="D912" s="667"/>
      <c r="E912" s="667"/>
      <c r="G912" s="743"/>
      <c r="H912" s="743"/>
      <c r="I912" s="743"/>
      <c r="J912" s="743"/>
      <c r="K912" s="743"/>
      <c r="L912" s="743"/>
      <c r="M912" s="743"/>
      <c r="N912" s="744"/>
      <c r="O912" s="744"/>
      <c r="P912" s="744"/>
    </row>
    <row r="913" spans="4:16" s="13" customFormat="1" ht="20.25" customHeight="1">
      <c r="D913" s="667"/>
      <c r="E913" s="667"/>
      <c r="G913" s="743"/>
      <c r="H913" s="743"/>
      <c r="I913" s="743"/>
      <c r="J913" s="743"/>
      <c r="K913" s="743"/>
      <c r="L913" s="743"/>
      <c r="M913" s="743"/>
      <c r="N913" s="744"/>
      <c r="O913" s="744"/>
      <c r="P913" s="744"/>
    </row>
    <row r="914" spans="4:16" s="13" customFormat="1" ht="20.25" customHeight="1">
      <c r="D914" s="667"/>
      <c r="E914" s="667"/>
      <c r="G914" s="743"/>
      <c r="H914" s="743"/>
      <c r="I914" s="743"/>
      <c r="J914" s="743"/>
      <c r="K914" s="743"/>
      <c r="L914" s="743"/>
      <c r="M914" s="743"/>
      <c r="N914" s="744"/>
      <c r="O914" s="744"/>
      <c r="P914" s="744"/>
    </row>
    <row r="915" spans="4:16" s="13" customFormat="1" ht="20.25" customHeight="1">
      <c r="D915" s="667"/>
      <c r="E915" s="667"/>
      <c r="G915" s="743"/>
      <c r="H915" s="743"/>
      <c r="I915" s="743"/>
      <c r="J915" s="743"/>
      <c r="K915" s="743"/>
      <c r="L915" s="743"/>
      <c r="M915" s="743"/>
      <c r="N915" s="744"/>
      <c r="O915" s="744"/>
      <c r="P915" s="744"/>
    </row>
    <row r="916" spans="4:16" s="13" customFormat="1" ht="20.25" customHeight="1">
      <c r="D916" s="667"/>
      <c r="E916" s="667"/>
      <c r="G916" s="743"/>
      <c r="H916" s="743"/>
      <c r="I916" s="743"/>
      <c r="J916" s="743"/>
      <c r="K916" s="743"/>
      <c r="L916" s="743"/>
      <c r="M916" s="743"/>
      <c r="N916" s="744"/>
      <c r="O916" s="744"/>
      <c r="P916" s="744"/>
    </row>
    <row r="917" spans="4:16" s="13" customFormat="1" ht="20.25" customHeight="1">
      <c r="D917" s="667"/>
      <c r="E917" s="667"/>
      <c r="G917" s="743"/>
      <c r="H917" s="743"/>
      <c r="I917" s="743"/>
      <c r="J917" s="743"/>
      <c r="K917" s="743"/>
      <c r="L917" s="743"/>
      <c r="M917" s="743"/>
      <c r="N917" s="744"/>
      <c r="O917" s="744"/>
      <c r="P917" s="744"/>
    </row>
    <row r="918" spans="4:16" s="13" customFormat="1" ht="20.25" customHeight="1">
      <c r="D918" s="667"/>
      <c r="E918" s="667"/>
      <c r="G918" s="743"/>
      <c r="H918" s="743"/>
      <c r="I918" s="743"/>
      <c r="J918" s="743"/>
      <c r="K918" s="743"/>
      <c r="L918" s="743"/>
      <c r="M918" s="743"/>
      <c r="N918" s="744"/>
      <c r="O918" s="744"/>
      <c r="P918" s="744"/>
    </row>
    <row r="919" spans="4:16" s="13" customFormat="1" ht="20.25" customHeight="1">
      <c r="D919" s="667"/>
      <c r="E919" s="667"/>
      <c r="G919" s="743"/>
      <c r="H919" s="743"/>
      <c r="I919" s="743"/>
      <c r="J919" s="743"/>
      <c r="K919" s="743"/>
      <c r="L919" s="743"/>
      <c r="M919" s="743"/>
      <c r="N919" s="744"/>
      <c r="O919" s="744"/>
      <c r="P919" s="744"/>
    </row>
    <row r="920" spans="4:16" s="13" customFormat="1" ht="20.25" customHeight="1">
      <c r="D920" s="667"/>
      <c r="E920" s="667"/>
      <c r="G920" s="743"/>
      <c r="H920" s="743"/>
      <c r="I920" s="743"/>
      <c r="J920" s="743"/>
      <c r="K920" s="743"/>
      <c r="L920" s="743"/>
      <c r="M920" s="743"/>
      <c r="N920" s="744"/>
      <c r="O920" s="744"/>
      <c r="P920" s="744"/>
    </row>
    <row r="921" spans="4:16" s="13" customFormat="1" ht="20.25" customHeight="1">
      <c r="D921" s="667"/>
      <c r="E921" s="667"/>
      <c r="G921" s="743"/>
      <c r="H921" s="743"/>
      <c r="I921" s="743"/>
      <c r="J921" s="743"/>
      <c r="K921" s="743"/>
      <c r="L921" s="743"/>
      <c r="M921" s="743"/>
      <c r="N921" s="744"/>
      <c r="O921" s="744"/>
      <c r="P921" s="744"/>
    </row>
    <row r="922" spans="4:16" s="13" customFormat="1" ht="20.25" customHeight="1">
      <c r="D922" s="667"/>
      <c r="E922" s="667"/>
      <c r="G922" s="743"/>
      <c r="H922" s="743"/>
      <c r="I922" s="743"/>
      <c r="J922" s="743"/>
      <c r="K922" s="743"/>
      <c r="L922" s="743"/>
      <c r="M922" s="743"/>
      <c r="N922" s="744"/>
      <c r="O922" s="744"/>
      <c r="P922" s="744"/>
    </row>
    <row r="923" spans="4:16" s="13" customFormat="1" ht="20.25" customHeight="1">
      <c r="D923" s="667"/>
      <c r="E923" s="667"/>
      <c r="G923" s="743"/>
      <c r="H923" s="743"/>
      <c r="I923" s="743"/>
      <c r="J923" s="743"/>
      <c r="K923" s="743"/>
      <c r="L923" s="743"/>
      <c r="M923" s="743"/>
      <c r="N923" s="744"/>
      <c r="O923" s="744"/>
      <c r="P923" s="744"/>
    </row>
    <row r="924" spans="4:16" s="13" customFormat="1" ht="20.25" customHeight="1">
      <c r="D924" s="667"/>
      <c r="E924" s="667"/>
      <c r="G924" s="743"/>
      <c r="H924" s="743"/>
      <c r="I924" s="743"/>
      <c r="J924" s="743"/>
      <c r="K924" s="743"/>
      <c r="L924" s="743"/>
      <c r="M924" s="743"/>
      <c r="N924" s="744"/>
      <c r="O924" s="744"/>
      <c r="P924" s="744"/>
    </row>
    <row r="925" spans="4:16" s="13" customFormat="1" ht="20.25" customHeight="1">
      <c r="D925" s="667"/>
      <c r="E925" s="667"/>
      <c r="G925" s="743"/>
      <c r="H925" s="743"/>
      <c r="I925" s="743"/>
      <c r="J925" s="743"/>
      <c r="K925" s="743"/>
      <c r="L925" s="743"/>
      <c r="M925" s="743"/>
      <c r="N925" s="744"/>
      <c r="O925" s="744"/>
      <c r="P925" s="744"/>
    </row>
    <row r="926" spans="4:16" s="13" customFormat="1" ht="20.25" customHeight="1">
      <c r="D926" s="667"/>
      <c r="E926" s="667"/>
      <c r="G926" s="743"/>
      <c r="H926" s="743"/>
      <c r="I926" s="743"/>
      <c r="J926" s="743"/>
      <c r="K926" s="743"/>
      <c r="L926" s="743"/>
      <c r="M926" s="743"/>
      <c r="N926" s="744"/>
      <c r="O926" s="744"/>
      <c r="P926" s="744"/>
    </row>
    <row r="927" spans="4:16" s="13" customFormat="1" ht="20.25" customHeight="1">
      <c r="D927" s="667"/>
      <c r="E927" s="667"/>
      <c r="G927" s="743"/>
      <c r="H927" s="743"/>
      <c r="I927" s="743"/>
      <c r="J927" s="743"/>
      <c r="K927" s="743"/>
      <c r="L927" s="743"/>
      <c r="M927" s="743"/>
      <c r="N927" s="744"/>
      <c r="O927" s="744"/>
      <c r="P927" s="744"/>
    </row>
    <row r="928" spans="4:16" s="13" customFormat="1" ht="20.25" customHeight="1">
      <c r="D928" s="667"/>
      <c r="E928" s="667"/>
      <c r="G928" s="743"/>
      <c r="H928" s="743"/>
      <c r="I928" s="743"/>
      <c r="J928" s="743"/>
      <c r="K928" s="743"/>
      <c r="L928" s="743"/>
      <c r="M928" s="743"/>
      <c r="N928" s="744"/>
      <c r="O928" s="744"/>
      <c r="P928" s="744"/>
    </row>
    <row r="929" spans="4:16" s="13" customFormat="1" ht="20.25" customHeight="1">
      <c r="D929" s="667"/>
      <c r="E929" s="667"/>
      <c r="G929" s="743"/>
      <c r="H929" s="743"/>
      <c r="I929" s="743"/>
      <c r="J929" s="743"/>
      <c r="K929" s="743"/>
      <c r="L929" s="743"/>
      <c r="M929" s="743"/>
      <c r="N929" s="744"/>
      <c r="O929" s="744"/>
      <c r="P929" s="744"/>
    </row>
    <row r="930" spans="4:16" s="13" customFormat="1" ht="20.25" customHeight="1">
      <c r="D930" s="667"/>
      <c r="E930" s="667"/>
      <c r="G930" s="743"/>
      <c r="H930" s="743"/>
      <c r="I930" s="743"/>
      <c r="J930" s="743"/>
      <c r="K930" s="743"/>
      <c r="L930" s="743"/>
      <c r="M930" s="743"/>
      <c r="N930" s="744"/>
      <c r="O930" s="744"/>
      <c r="P930" s="744"/>
    </row>
    <row r="931" spans="4:16" s="13" customFormat="1" ht="20.25" customHeight="1">
      <c r="D931" s="667"/>
      <c r="E931" s="667"/>
      <c r="G931" s="743"/>
      <c r="H931" s="743"/>
      <c r="I931" s="743"/>
      <c r="J931" s="743"/>
      <c r="K931" s="743"/>
      <c r="L931" s="743"/>
      <c r="M931" s="743"/>
      <c r="N931" s="744"/>
      <c r="O931" s="744"/>
      <c r="P931" s="744"/>
    </row>
    <row r="932" spans="4:16" s="13" customFormat="1" ht="20.25" customHeight="1">
      <c r="D932" s="667"/>
      <c r="E932" s="667"/>
      <c r="G932" s="743"/>
      <c r="H932" s="743"/>
      <c r="I932" s="743"/>
      <c r="J932" s="743"/>
      <c r="K932" s="743"/>
      <c r="L932" s="743"/>
      <c r="M932" s="743"/>
      <c r="N932" s="744"/>
      <c r="O932" s="744"/>
      <c r="P932" s="744"/>
    </row>
    <row r="933" spans="4:16" s="13" customFormat="1" ht="20.25" customHeight="1">
      <c r="D933" s="667"/>
      <c r="E933" s="667"/>
      <c r="G933" s="743"/>
      <c r="H933" s="743"/>
      <c r="I933" s="743"/>
      <c r="J933" s="743"/>
      <c r="K933" s="743"/>
      <c r="L933" s="743"/>
      <c r="M933" s="743"/>
      <c r="N933" s="744"/>
      <c r="O933" s="744"/>
      <c r="P933" s="744"/>
    </row>
    <row r="934" spans="4:16" s="13" customFormat="1" ht="20.25" customHeight="1">
      <c r="D934" s="667"/>
      <c r="E934" s="667"/>
      <c r="G934" s="743"/>
      <c r="H934" s="743"/>
      <c r="I934" s="743"/>
      <c r="J934" s="743"/>
      <c r="K934" s="743"/>
      <c r="L934" s="743"/>
      <c r="M934" s="743"/>
      <c r="N934" s="744"/>
      <c r="O934" s="744"/>
      <c r="P934" s="744"/>
    </row>
    <row r="935" spans="4:16" s="13" customFormat="1" ht="20.25" customHeight="1">
      <c r="D935" s="667"/>
      <c r="E935" s="667"/>
      <c r="G935" s="743"/>
      <c r="H935" s="743"/>
      <c r="I935" s="743"/>
      <c r="J935" s="743"/>
      <c r="K935" s="743"/>
      <c r="L935" s="743"/>
      <c r="M935" s="743"/>
      <c r="N935" s="744"/>
      <c r="O935" s="744"/>
      <c r="P935" s="744"/>
    </row>
    <row r="936" spans="4:16" s="13" customFormat="1" ht="20.25" customHeight="1">
      <c r="D936" s="667"/>
      <c r="E936" s="667"/>
      <c r="G936" s="743"/>
      <c r="H936" s="743"/>
      <c r="I936" s="743"/>
      <c r="J936" s="743"/>
      <c r="K936" s="743"/>
      <c r="L936" s="743"/>
      <c r="M936" s="743"/>
      <c r="N936" s="744"/>
      <c r="O936" s="744"/>
      <c r="P936" s="744"/>
    </row>
    <row r="937" spans="4:16" s="13" customFormat="1" ht="20.25" customHeight="1">
      <c r="D937" s="667"/>
      <c r="E937" s="667"/>
      <c r="G937" s="743"/>
      <c r="H937" s="743"/>
      <c r="I937" s="743"/>
      <c r="J937" s="743"/>
      <c r="K937" s="743"/>
      <c r="L937" s="743"/>
      <c r="M937" s="743"/>
      <c r="N937" s="744"/>
      <c r="O937" s="744"/>
      <c r="P937" s="744"/>
    </row>
    <row r="938" spans="4:16" s="13" customFormat="1" ht="20.25" customHeight="1">
      <c r="D938" s="667"/>
      <c r="E938" s="667"/>
      <c r="G938" s="743"/>
      <c r="H938" s="743"/>
      <c r="I938" s="743"/>
      <c r="J938" s="743"/>
      <c r="K938" s="743"/>
      <c r="L938" s="743"/>
      <c r="M938" s="743"/>
      <c r="N938" s="744"/>
      <c r="O938" s="744"/>
      <c r="P938" s="744"/>
    </row>
    <row r="939" spans="4:16" s="13" customFormat="1" ht="20.25" customHeight="1">
      <c r="D939" s="667"/>
      <c r="E939" s="667"/>
      <c r="G939" s="743"/>
      <c r="H939" s="743"/>
      <c r="I939" s="743"/>
      <c r="J939" s="743"/>
      <c r="K939" s="743"/>
      <c r="L939" s="743"/>
      <c r="M939" s="743"/>
      <c r="N939" s="744"/>
      <c r="O939" s="744"/>
      <c r="P939" s="744"/>
    </row>
    <row r="940" spans="4:16" s="13" customFormat="1" ht="20.25" customHeight="1">
      <c r="D940" s="667"/>
      <c r="E940" s="667"/>
      <c r="G940" s="743"/>
      <c r="H940" s="743"/>
      <c r="I940" s="743"/>
      <c r="J940" s="743"/>
      <c r="K940" s="743"/>
      <c r="L940" s="743"/>
      <c r="M940" s="743"/>
      <c r="N940" s="744"/>
      <c r="O940" s="744"/>
      <c r="P940" s="744"/>
    </row>
    <row r="941" spans="4:16" s="13" customFormat="1" ht="20.25" customHeight="1">
      <c r="D941" s="667"/>
      <c r="E941" s="667"/>
      <c r="G941" s="743"/>
      <c r="H941" s="743"/>
      <c r="I941" s="743"/>
      <c r="J941" s="743"/>
      <c r="K941" s="743"/>
      <c r="L941" s="743"/>
      <c r="M941" s="743"/>
      <c r="N941" s="744"/>
      <c r="O941" s="744"/>
      <c r="P941" s="744"/>
    </row>
    <row r="942" spans="4:16" s="13" customFormat="1" ht="20.25" customHeight="1">
      <c r="D942" s="667"/>
      <c r="E942" s="667"/>
      <c r="G942" s="743"/>
      <c r="H942" s="743"/>
      <c r="I942" s="743"/>
      <c r="J942" s="743"/>
      <c r="K942" s="743"/>
      <c r="L942" s="743"/>
      <c r="M942" s="743"/>
      <c r="N942" s="744"/>
      <c r="O942" s="744"/>
      <c r="P942" s="744"/>
    </row>
    <row r="943" spans="4:16" s="13" customFormat="1" ht="20.25" customHeight="1">
      <c r="D943" s="667"/>
      <c r="E943" s="667"/>
      <c r="G943" s="743"/>
      <c r="H943" s="743"/>
      <c r="I943" s="743"/>
      <c r="J943" s="743"/>
      <c r="K943" s="743"/>
      <c r="L943" s="743"/>
      <c r="M943" s="743"/>
      <c r="N943" s="744"/>
      <c r="O943" s="744"/>
      <c r="P943" s="744"/>
    </row>
    <row r="944" spans="4:16" s="13" customFormat="1" ht="20.25" customHeight="1">
      <c r="D944" s="667"/>
      <c r="E944" s="667"/>
      <c r="G944" s="743"/>
      <c r="H944" s="743"/>
      <c r="I944" s="743"/>
      <c r="J944" s="743"/>
      <c r="K944" s="743"/>
      <c r="L944" s="743"/>
      <c r="M944" s="743"/>
      <c r="N944" s="744"/>
      <c r="O944" s="744"/>
      <c r="P944" s="744"/>
    </row>
    <row r="945" spans="4:16" s="13" customFormat="1" ht="20.25" customHeight="1">
      <c r="D945" s="667"/>
      <c r="E945" s="667"/>
      <c r="G945" s="743"/>
      <c r="H945" s="743"/>
      <c r="I945" s="743"/>
      <c r="J945" s="743"/>
      <c r="K945" s="743"/>
      <c r="L945" s="743"/>
      <c r="M945" s="743"/>
      <c r="N945" s="744"/>
      <c r="O945" s="744"/>
      <c r="P945" s="744"/>
    </row>
    <row r="946" spans="4:16" s="13" customFormat="1" ht="20.25" customHeight="1">
      <c r="D946" s="667"/>
      <c r="E946" s="667"/>
      <c r="G946" s="743"/>
      <c r="H946" s="743"/>
      <c r="I946" s="743"/>
      <c r="J946" s="743"/>
      <c r="K946" s="743"/>
      <c r="L946" s="743"/>
      <c r="M946" s="743"/>
      <c r="N946" s="744"/>
      <c r="O946" s="744"/>
      <c r="P946" s="744"/>
    </row>
    <row r="947" spans="4:16" s="13" customFormat="1" ht="20.25" customHeight="1">
      <c r="D947" s="667"/>
      <c r="E947" s="667"/>
      <c r="G947" s="743"/>
      <c r="H947" s="743"/>
      <c r="I947" s="743"/>
      <c r="J947" s="743"/>
      <c r="K947" s="743"/>
      <c r="L947" s="743"/>
      <c r="M947" s="743"/>
      <c r="N947" s="744"/>
      <c r="O947" s="744"/>
      <c r="P947" s="744"/>
    </row>
    <row r="948" spans="4:16" s="13" customFormat="1" ht="20.25" customHeight="1">
      <c r="D948" s="667"/>
      <c r="E948" s="667"/>
      <c r="G948" s="743"/>
      <c r="H948" s="743"/>
      <c r="I948" s="743"/>
      <c r="J948" s="743"/>
      <c r="K948" s="743"/>
      <c r="L948" s="743"/>
      <c r="M948" s="743"/>
      <c r="N948" s="744"/>
      <c r="O948" s="744"/>
      <c r="P948" s="744"/>
    </row>
    <row r="949" spans="4:16" s="13" customFormat="1" ht="20.25" customHeight="1">
      <c r="D949" s="667"/>
      <c r="E949" s="667"/>
      <c r="G949" s="743"/>
      <c r="H949" s="743"/>
      <c r="I949" s="743"/>
      <c r="J949" s="743"/>
      <c r="K949" s="743"/>
      <c r="L949" s="743"/>
      <c r="M949" s="743"/>
      <c r="N949" s="744"/>
      <c r="O949" s="744"/>
      <c r="P949" s="744"/>
    </row>
    <row r="950" spans="4:16" s="13" customFormat="1" ht="20.25" customHeight="1">
      <c r="D950" s="667"/>
      <c r="E950" s="667"/>
      <c r="G950" s="743"/>
      <c r="H950" s="743"/>
      <c r="I950" s="743"/>
      <c r="J950" s="743"/>
      <c r="K950" s="743"/>
      <c r="L950" s="743"/>
      <c r="M950" s="743"/>
      <c r="N950" s="744"/>
      <c r="O950" s="744"/>
      <c r="P950" s="744"/>
    </row>
    <row r="951" spans="4:16" s="13" customFormat="1" ht="20.25" customHeight="1">
      <c r="D951" s="667"/>
      <c r="E951" s="667"/>
      <c r="G951" s="743"/>
      <c r="H951" s="743"/>
      <c r="I951" s="743"/>
      <c r="J951" s="743"/>
      <c r="K951" s="743"/>
      <c r="L951" s="743"/>
      <c r="M951" s="743"/>
      <c r="N951" s="744"/>
      <c r="O951" s="744"/>
      <c r="P951" s="744"/>
    </row>
    <row r="952" spans="4:16" s="13" customFormat="1" ht="20.25" customHeight="1">
      <c r="D952" s="667"/>
      <c r="E952" s="667"/>
      <c r="G952" s="743"/>
      <c r="H952" s="743"/>
      <c r="I952" s="743"/>
      <c r="J952" s="743"/>
      <c r="K952" s="743"/>
      <c r="L952" s="743"/>
      <c r="M952" s="743"/>
      <c r="N952" s="744"/>
      <c r="O952" s="744"/>
      <c r="P952" s="744"/>
    </row>
    <row r="953" spans="4:16" s="13" customFormat="1" ht="20.25" customHeight="1">
      <c r="D953" s="667"/>
      <c r="E953" s="667"/>
      <c r="G953" s="743"/>
      <c r="H953" s="743"/>
      <c r="I953" s="743"/>
      <c r="J953" s="743"/>
      <c r="K953" s="743"/>
      <c r="L953" s="743"/>
      <c r="M953" s="743"/>
      <c r="N953" s="744"/>
      <c r="O953" s="744"/>
      <c r="P953" s="744"/>
    </row>
    <row r="954" spans="4:16" s="13" customFormat="1" ht="20.25" customHeight="1">
      <c r="D954" s="667"/>
      <c r="E954" s="667"/>
      <c r="G954" s="743"/>
      <c r="H954" s="743"/>
      <c r="I954" s="743"/>
      <c r="J954" s="743"/>
      <c r="K954" s="743"/>
      <c r="L954" s="743"/>
      <c r="M954" s="743"/>
      <c r="N954" s="744"/>
      <c r="O954" s="744"/>
      <c r="P954" s="744"/>
    </row>
    <row r="955" spans="4:16" s="13" customFormat="1" ht="20.25" customHeight="1">
      <c r="D955" s="667"/>
      <c r="E955" s="667"/>
      <c r="G955" s="743"/>
      <c r="H955" s="743"/>
      <c r="I955" s="743"/>
      <c r="J955" s="743"/>
      <c r="K955" s="743"/>
      <c r="L955" s="743"/>
      <c r="M955" s="743"/>
      <c r="N955" s="744"/>
      <c r="O955" s="744"/>
      <c r="P955" s="744"/>
    </row>
    <row r="956" spans="4:16" s="13" customFormat="1" ht="20.25" customHeight="1">
      <c r="D956" s="667"/>
      <c r="E956" s="667"/>
      <c r="G956" s="743"/>
      <c r="H956" s="743"/>
      <c r="I956" s="743"/>
      <c r="J956" s="743"/>
      <c r="K956" s="743"/>
      <c r="L956" s="743"/>
      <c r="M956" s="743"/>
      <c r="N956" s="744"/>
      <c r="O956" s="744"/>
      <c r="P956" s="744"/>
    </row>
    <row r="957" spans="4:16" s="13" customFormat="1" ht="20.25" customHeight="1">
      <c r="D957" s="667"/>
      <c r="E957" s="667"/>
      <c r="G957" s="743"/>
      <c r="H957" s="743"/>
      <c r="I957" s="743"/>
      <c r="J957" s="743"/>
      <c r="K957" s="743"/>
      <c r="L957" s="743"/>
      <c r="M957" s="743"/>
      <c r="N957" s="744"/>
      <c r="O957" s="744"/>
      <c r="P957" s="744"/>
    </row>
    <row r="958" spans="4:16" s="13" customFormat="1" ht="20.25" customHeight="1">
      <c r="D958" s="667"/>
      <c r="E958" s="667"/>
      <c r="G958" s="743"/>
      <c r="H958" s="743"/>
      <c r="I958" s="743"/>
      <c r="J958" s="743"/>
      <c r="K958" s="743"/>
      <c r="L958" s="743"/>
      <c r="M958" s="743"/>
      <c r="N958" s="744"/>
      <c r="O958" s="744"/>
      <c r="P958" s="744"/>
    </row>
    <row r="959" spans="4:16" s="13" customFormat="1" ht="20.25" customHeight="1">
      <c r="D959" s="667"/>
      <c r="E959" s="667"/>
      <c r="G959" s="743"/>
      <c r="H959" s="743"/>
      <c r="I959" s="743"/>
      <c r="J959" s="743"/>
      <c r="K959" s="743"/>
      <c r="L959" s="743"/>
      <c r="M959" s="743"/>
      <c r="N959" s="744"/>
      <c r="O959" s="744"/>
      <c r="P959" s="744"/>
    </row>
    <row r="960" spans="4:16" s="13" customFormat="1" ht="20.25" customHeight="1">
      <c r="D960" s="667"/>
      <c r="E960" s="667"/>
      <c r="G960" s="743"/>
      <c r="H960" s="743"/>
      <c r="I960" s="743"/>
      <c r="J960" s="743"/>
      <c r="K960" s="743"/>
      <c r="L960" s="743"/>
      <c r="M960" s="743"/>
      <c r="N960" s="744"/>
      <c r="O960" s="744"/>
      <c r="P960" s="744"/>
    </row>
    <row r="961" spans="4:16" s="13" customFormat="1" ht="20.25" customHeight="1">
      <c r="D961" s="667"/>
      <c r="E961" s="667"/>
      <c r="G961" s="743"/>
      <c r="H961" s="743"/>
      <c r="I961" s="743"/>
      <c r="J961" s="743"/>
      <c r="K961" s="743"/>
      <c r="L961" s="743"/>
      <c r="M961" s="743"/>
      <c r="N961" s="744"/>
      <c r="O961" s="744"/>
      <c r="P961" s="744"/>
    </row>
    <row r="962" spans="4:16" s="13" customFormat="1" ht="20.25" customHeight="1">
      <c r="D962" s="667"/>
      <c r="E962" s="667"/>
      <c r="G962" s="743"/>
      <c r="H962" s="743"/>
      <c r="I962" s="743"/>
      <c r="J962" s="743"/>
      <c r="K962" s="743"/>
      <c r="L962" s="743"/>
      <c r="M962" s="743"/>
      <c r="N962" s="744"/>
      <c r="O962" s="744"/>
      <c r="P962" s="744"/>
    </row>
    <row r="963" spans="4:16" s="13" customFormat="1" ht="20.25" customHeight="1">
      <c r="D963" s="667"/>
      <c r="E963" s="667"/>
      <c r="G963" s="743"/>
      <c r="H963" s="743"/>
      <c r="I963" s="743"/>
      <c r="J963" s="743"/>
      <c r="K963" s="743"/>
      <c r="L963" s="743"/>
      <c r="M963" s="743"/>
      <c r="N963" s="744"/>
      <c r="O963" s="744"/>
      <c r="P963" s="744"/>
    </row>
    <row r="964" spans="4:16" s="13" customFormat="1" ht="20.25" customHeight="1">
      <c r="D964" s="667"/>
      <c r="E964" s="667"/>
      <c r="G964" s="743"/>
      <c r="H964" s="743"/>
      <c r="I964" s="743"/>
      <c r="J964" s="743"/>
      <c r="K964" s="743"/>
      <c r="L964" s="743"/>
      <c r="M964" s="743"/>
      <c r="N964" s="744"/>
      <c r="O964" s="744"/>
      <c r="P964" s="744"/>
    </row>
    <row r="965" spans="4:16" s="13" customFormat="1" ht="20.25" customHeight="1">
      <c r="D965" s="667"/>
      <c r="E965" s="667"/>
      <c r="G965" s="743"/>
      <c r="H965" s="743"/>
      <c r="I965" s="743"/>
      <c r="J965" s="743"/>
      <c r="K965" s="743"/>
      <c r="L965" s="743"/>
      <c r="M965" s="743"/>
      <c r="N965" s="744"/>
      <c r="O965" s="744"/>
      <c r="P965" s="744"/>
    </row>
    <row r="966" spans="4:16" s="13" customFormat="1" ht="20.25" customHeight="1">
      <c r="D966" s="667"/>
      <c r="E966" s="667"/>
      <c r="G966" s="743"/>
      <c r="H966" s="743"/>
      <c r="I966" s="743"/>
      <c r="J966" s="743"/>
      <c r="K966" s="743"/>
      <c r="L966" s="743"/>
      <c r="M966" s="743"/>
      <c r="N966" s="744"/>
      <c r="O966" s="744"/>
      <c r="P966" s="744"/>
    </row>
    <row r="967" spans="4:16" s="13" customFormat="1" ht="20.25" customHeight="1">
      <c r="D967" s="667"/>
      <c r="E967" s="667"/>
      <c r="G967" s="743"/>
      <c r="H967" s="743"/>
      <c r="I967" s="743"/>
      <c r="J967" s="743"/>
      <c r="K967" s="743"/>
      <c r="L967" s="743"/>
      <c r="M967" s="743"/>
      <c r="N967" s="744"/>
      <c r="O967" s="744"/>
      <c r="P967" s="744"/>
    </row>
    <row r="968" spans="4:16" s="13" customFormat="1" ht="20.25" customHeight="1">
      <c r="D968" s="667"/>
      <c r="E968" s="667"/>
      <c r="G968" s="743"/>
      <c r="H968" s="743"/>
      <c r="I968" s="743"/>
      <c r="J968" s="743"/>
      <c r="K968" s="743"/>
      <c r="L968" s="743"/>
      <c r="M968" s="743"/>
      <c r="N968" s="744"/>
      <c r="O968" s="744"/>
      <c r="P968" s="744"/>
    </row>
    <row r="969" spans="4:16" s="13" customFormat="1" ht="20.25" customHeight="1">
      <c r="D969" s="667"/>
      <c r="E969" s="667"/>
      <c r="G969" s="743"/>
      <c r="H969" s="743"/>
      <c r="I969" s="743"/>
      <c r="J969" s="743"/>
      <c r="K969" s="743"/>
      <c r="L969" s="743"/>
      <c r="M969" s="743"/>
      <c r="N969" s="744"/>
      <c r="O969" s="744"/>
      <c r="P969" s="744"/>
    </row>
    <row r="970" spans="4:16" s="13" customFormat="1" ht="20.25" customHeight="1">
      <c r="D970" s="667"/>
      <c r="E970" s="667"/>
      <c r="G970" s="743"/>
      <c r="H970" s="743"/>
      <c r="I970" s="743"/>
      <c r="J970" s="743"/>
      <c r="K970" s="743"/>
      <c r="L970" s="743"/>
      <c r="M970" s="743"/>
      <c r="N970" s="744"/>
      <c r="O970" s="744"/>
      <c r="P970" s="744"/>
    </row>
    <row r="971" spans="4:16" s="13" customFormat="1" ht="20.25" customHeight="1">
      <c r="D971" s="667"/>
      <c r="E971" s="667"/>
      <c r="G971" s="743"/>
      <c r="H971" s="743"/>
      <c r="I971" s="743"/>
      <c r="J971" s="743"/>
      <c r="K971" s="743"/>
      <c r="L971" s="743"/>
      <c r="M971" s="743"/>
      <c r="N971" s="744"/>
      <c r="O971" s="744"/>
      <c r="P971" s="744"/>
    </row>
    <row r="972" spans="4:16" s="13" customFormat="1" ht="20.25" customHeight="1">
      <c r="D972" s="667"/>
      <c r="E972" s="667"/>
      <c r="G972" s="743"/>
      <c r="H972" s="743"/>
      <c r="I972" s="743"/>
      <c r="J972" s="743"/>
      <c r="K972" s="743"/>
      <c r="L972" s="743"/>
      <c r="M972" s="743"/>
      <c r="N972" s="744"/>
      <c r="O972" s="744"/>
      <c r="P972" s="744"/>
    </row>
    <row r="973" spans="4:16" s="13" customFormat="1" ht="20.25" customHeight="1">
      <c r="D973" s="667"/>
      <c r="E973" s="667"/>
      <c r="G973" s="743"/>
      <c r="H973" s="743"/>
      <c r="I973" s="743"/>
      <c r="J973" s="743"/>
      <c r="K973" s="743"/>
      <c r="L973" s="743"/>
      <c r="M973" s="743"/>
      <c r="N973" s="744"/>
      <c r="O973" s="744"/>
      <c r="P973" s="744"/>
    </row>
    <row r="974" spans="4:16" s="13" customFormat="1" ht="20.25" customHeight="1">
      <c r="D974" s="667"/>
      <c r="E974" s="667"/>
      <c r="G974" s="743"/>
      <c r="H974" s="743"/>
      <c r="I974" s="743"/>
      <c r="J974" s="743"/>
      <c r="K974" s="743"/>
      <c r="L974" s="743"/>
      <c r="M974" s="743"/>
      <c r="N974" s="744"/>
      <c r="O974" s="744"/>
      <c r="P974" s="744"/>
    </row>
    <row r="975" spans="4:16" s="13" customFormat="1" ht="20.25" customHeight="1">
      <c r="D975" s="667"/>
      <c r="E975" s="667"/>
      <c r="G975" s="743"/>
      <c r="H975" s="743"/>
      <c r="I975" s="743"/>
      <c r="J975" s="743"/>
      <c r="K975" s="743"/>
      <c r="L975" s="743"/>
      <c r="M975" s="743"/>
      <c r="N975" s="744"/>
      <c r="O975" s="744"/>
      <c r="P975" s="744"/>
    </row>
    <row r="976" spans="4:16" s="13" customFormat="1" ht="20.25" customHeight="1">
      <c r="D976" s="667"/>
      <c r="E976" s="667"/>
      <c r="G976" s="743"/>
      <c r="H976" s="743"/>
      <c r="I976" s="743"/>
      <c r="J976" s="743"/>
      <c r="K976" s="743"/>
      <c r="L976" s="743"/>
      <c r="M976" s="743"/>
      <c r="N976" s="744"/>
      <c r="O976" s="744"/>
      <c r="P976" s="744"/>
    </row>
    <row r="977" spans="4:16" s="13" customFormat="1" ht="20.25" customHeight="1">
      <c r="D977" s="667"/>
      <c r="E977" s="667"/>
      <c r="G977" s="743"/>
      <c r="H977" s="743"/>
      <c r="I977" s="743"/>
      <c r="J977" s="743"/>
      <c r="K977" s="743"/>
      <c r="L977" s="743"/>
      <c r="M977" s="743"/>
      <c r="N977" s="744"/>
      <c r="O977" s="744"/>
      <c r="P977" s="744"/>
    </row>
    <row r="978" spans="4:16" s="13" customFormat="1" ht="20.25" customHeight="1">
      <c r="D978" s="667"/>
      <c r="E978" s="667"/>
      <c r="G978" s="743"/>
      <c r="H978" s="743"/>
      <c r="I978" s="743"/>
      <c r="J978" s="743"/>
      <c r="K978" s="743"/>
      <c r="L978" s="743"/>
      <c r="M978" s="743"/>
      <c r="N978" s="744"/>
      <c r="O978" s="744"/>
      <c r="P978" s="744"/>
    </row>
    <row r="979" spans="4:16" s="13" customFormat="1" ht="20.25" customHeight="1">
      <c r="D979" s="667"/>
      <c r="E979" s="667"/>
      <c r="G979" s="743"/>
      <c r="H979" s="743"/>
      <c r="I979" s="743"/>
      <c r="J979" s="743"/>
      <c r="K979" s="743"/>
      <c r="L979" s="743"/>
      <c r="M979" s="743"/>
      <c r="N979" s="744"/>
      <c r="O979" s="744"/>
      <c r="P979" s="744"/>
    </row>
    <row r="980" spans="4:16" s="13" customFormat="1" ht="20.25" customHeight="1">
      <c r="D980" s="667"/>
      <c r="E980" s="667"/>
      <c r="G980" s="743"/>
      <c r="H980" s="743"/>
      <c r="I980" s="743"/>
      <c r="J980" s="743"/>
      <c r="K980" s="743"/>
      <c r="L980" s="743"/>
      <c r="M980" s="743"/>
      <c r="N980" s="744"/>
      <c r="O980" s="744"/>
      <c r="P980" s="744"/>
    </row>
    <row r="981" spans="4:16" s="13" customFormat="1" ht="20.25" customHeight="1">
      <c r="D981" s="667"/>
      <c r="E981" s="667"/>
      <c r="G981" s="743"/>
      <c r="H981" s="743"/>
      <c r="I981" s="743"/>
      <c r="J981" s="743"/>
      <c r="K981" s="743"/>
      <c r="L981" s="743"/>
      <c r="M981" s="743"/>
      <c r="N981" s="744"/>
      <c r="O981" s="744"/>
      <c r="P981" s="744"/>
    </row>
    <row r="982" spans="4:16" s="13" customFormat="1" ht="20.25" customHeight="1">
      <c r="D982" s="667"/>
      <c r="E982" s="667"/>
      <c r="G982" s="743"/>
      <c r="H982" s="743"/>
      <c r="I982" s="743"/>
      <c r="J982" s="743"/>
      <c r="K982" s="743"/>
      <c r="L982" s="743"/>
      <c r="M982" s="743"/>
      <c r="N982" s="744"/>
      <c r="O982" s="744"/>
      <c r="P982" s="744"/>
    </row>
    <row r="983" spans="4:16" s="13" customFormat="1" ht="20.25" customHeight="1">
      <c r="D983" s="667"/>
      <c r="E983" s="667"/>
      <c r="G983" s="743"/>
      <c r="H983" s="743"/>
      <c r="I983" s="743"/>
      <c r="J983" s="743"/>
      <c r="K983" s="743"/>
      <c r="L983" s="743"/>
      <c r="M983" s="743"/>
      <c r="N983" s="744"/>
      <c r="O983" s="744"/>
      <c r="P983" s="744"/>
    </row>
    <row r="984" spans="4:16" s="13" customFormat="1" ht="20.25" customHeight="1">
      <c r="D984" s="667"/>
      <c r="E984" s="667"/>
      <c r="G984" s="743"/>
      <c r="H984" s="743"/>
      <c r="I984" s="743"/>
      <c r="J984" s="743"/>
      <c r="K984" s="743"/>
      <c r="L984" s="743"/>
      <c r="M984" s="743"/>
      <c r="N984" s="744"/>
      <c r="O984" s="744"/>
      <c r="P984" s="744"/>
    </row>
    <row r="985" spans="4:16" s="13" customFormat="1" ht="20.25" customHeight="1">
      <c r="D985" s="667"/>
      <c r="E985" s="667"/>
      <c r="G985" s="743"/>
      <c r="H985" s="743"/>
      <c r="I985" s="743"/>
      <c r="J985" s="743"/>
      <c r="K985" s="743"/>
      <c r="L985" s="743"/>
      <c r="M985" s="743"/>
      <c r="N985" s="744"/>
      <c r="O985" s="744"/>
      <c r="P985" s="744"/>
    </row>
    <row r="986" spans="4:16" s="13" customFormat="1" ht="20.25" customHeight="1">
      <c r="D986" s="667"/>
      <c r="E986" s="667"/>
      <c r="G986" s="743"/>
      <c r="H986" s="743"/>
      <c r="I986" s="743"/>
      <c r="J986" s="743"/>
      <c r="K986" s="743"/>
      <c r="L986" s="743"/>
      <c r="M986" s="743"/>
      <c r="N986" s="744"/>
      <c r="O986" s="744"/>
      <c r="P986" s="744"/>
    </row>
    <row r="987" spans="4:16" s="13" customFormat="1" ht="20.25" customHeight="1">
      <c r="D987" s="667"/>
      <c r="E987" s="667"/>
      <c r="G987" s="743"/>
      <c r="H987" s="743"/>
      <c r="I987" s="743"/>
      <c r="J987" s="743"/>
      <c r="K987" s="743"/>
      <c r="L987" s="743"/>
      <c r="M987" s="743"/>
      <c r="N987" s="744"/>
      <c r="O987" s="744"/>
      <c r="P987" s="744"/>
    </row>
    <row r="988" spans="4:16" s="13" customFormat="1" ht="20.25" customHeight="1">
      <c r="D988" s="667"/>
      <c r="E988" s="667"/>
      <c r="G988" s="743"/>
      <c r="H988" s="743"/>
      <c r="I988" s="743"/>
      <c r="J988" s="743"/>
      <c r="K988" s="743"/>
      <c r="L988" s="743"/>
      <c r="M988" s="743"/>
      <c r="N988" s="744"/>
      <c r="O988" s="744"/>
      <c r="P988" s="744"/>
    </row>
    <row r="989" spans="4:16" s="13" customFormat="1" ht="20.25" customHeight="1">
      <c r="D989" s="667"/>
      <c r="E989" s="667"/>
      <c r="G989" s="743"/>
      <c r="H989" s="743"/>
      <c r="I989" s="743"/>
      <c r="J989" s="743"/>
      <c r="K989" s="743"/>
      <c r="L989" s="743"/>
      <c r="M989" s="743"/>
      <c r="N989" s="744"/>
      <c r="O989" s="744"/>
      <c r="P989" s="744"/>
    </row>
    <row r="990" spans="4:16" s="13" customFormat="1" ht="20.25" customHeight="1">
      <c r="D990" s="667"/>
      <c r="E990" s="667"/>
      <c r="G990" s="743"/>
      <c r="H990" s="743"/>
      <c r="I990" s="743"/>
      <c r="J990" s="743"/>
      <c r="K990" s="743"/>
      <c r="L990" s="743"/>
      <c r="M990" s="743"/>
      <c r="N990" s="744"/>
      <c r="O990" s="744"/>
      <c r="P990" s="744"/>
    </row>
    <row r="991" spans="4:16" s="13" customFormat="1" ht="20.25" customHeight="1">
      <c r="D991" s="667"/>
      <c r="E991" s="667"/>
      <c r="G991" s="743"/>
      <c r="H991" s="743"/>
      <c r="I991" s="743"/>
      <c r="J991" s="743"/>
      <c r="K991" s="743"/>
      <c r="L991" s="743"/>
      <c r="M991" s="743"/>
      <c r="N991" s="744"/>
      <c r="O991" s="744"/>
      <c r="P991" s="744"/>
    </row>
    <row r="992" spans="4:16" s="13" customFormat="1" ht="20.25" customHeight="1">
      <c r="D992" s="667"/>
      <c r="E992" s="667"/>
      <c r="G992" s="743"/>
      <c r="H992" s="743"/>
      <c r="I992" s="743"/>
      <c r="J992" s="743"/>
      <c r="K992" s="743"/>
      <c r="L992" s="743"/>
      <c r="M992" s="743"/>
      <c r="N992" s="744"/>
      <c r="O992" s="744"/>
      <c r="P992" s="744"/>
    </row>
    <row r="993" spans="4:16" s="13" customFormat="1" ht="20.25" customHeight="1">
      <c r="D993" s="667"/>
      <c r="E993" s="667"/>
      <c r="G993" s="743"/>
      <c r="H993" s="743"/>
      <c r="I993" s="743"/>
      <c r="J993" s="743"/>
      <c r="K993" s="743"/>
      <c r="L993" s="743"/>
      <c r="M993" s="743"/>
      <c r="N993" s="744"/>
      <c r="O993" s="744"/>
      <c r="P993" s="744"/>
    </row>
    <row r="994" spans="4:16" s="13" customFormat="1" ht="20.25" customHeight="1">
      <c r="D994" s="667"/>
      <c r="E994" s="667"/>
      <c r="G994" s="743"/>
      <c r="H994" s="743"/>
      <c r="I994" s="743"/>
      <c r="J994" s="743"/>
      <c r="K994" s="743"/>
      <c r="L994" s="743"/>
      <c r="M994" s="743"/>
      <c r="N994" s="744"/>
      <c r="O994" s="744"/>
      <c r="P994" s="744"/>
    </row>
    <row r="995" spans="4:16" s="13" customFormat="1" ht="20.25" customHeight="1">
      <c r="D995" s="667"/>
      <c r="E995" s="667"/>
      <c r="G995" s="743"/>
      <c r="H995" s="743"/>
      <c r="I995" s="743"/>
      <c r="J995" s="743"/>
      <c r="K995" s="743"/>
      <c r="L995" s="743"/>
      <c r="M995" s="743"/>
      <c r="N995" s="744"/>
      <c r="O995" s="744"/>
      <c r="P995" s="744"/>
    </row>
    <row r="996" spans="4:16" s="13" customFormat="1" ht="20.25" customHeight="1">
      <c r="D996" s="667"/>
      <c r="E996" s="667"/>
      <c r="G996" s="743"/>
      <c r="H996" s="743"/>
      <c r="I996" s="743"/>
      <c r="J996" s="743"/>
      <c r="K996" s="743"/>
      <c r="L996" s="743"/>
      <c r="M996" s="743"/>
      <c r="N996" s="744"/>
      <c r="O996" s="744"/>
      <c r="P996" s="744"/>
    </row>
    <row r="997" spans="4:16" s="13" customFormat="1" ht="20.25" customHeight="1">
      <c r="D997" s="667"/>
      <c r="E997" s="667"/>
      <c r="G997" s="743"/>
      <c r="H997" s="743"/>
      <c r="I997" s="743"/>
      <c r="J997" s="743"/>
      <c r="K997" s="743"/>
      <c r="L997" s="743"/>
      <c r="M997" s="743"/>
      <c r="N997" s="744"/>
      <c r="O997" s="744"/>
      <c r="P997" s="744"/>
    </row>
    <row r="998" spans="4:16" s="13" customFormat="1" ht="20.25" customHeight="1">
      <c r="D998" s="667"/>
      <c r="E998" s="667"/>
      <c r="G998" s="743"/>
      <c r="H998" s="743"/>
      <c r="I998" s="743"/>
      <c r="J998" s="743"/>
      <c r="K998" s="743"/>
      <c r="L998" s="743"/>
      <c r="M998" s="743"/>
      <c r="N998" s="744"/>
      <c r="O998" s="744"/>
      <c r="P998" s="744"/>
    </row>
    <row r="999" spans="4:16" s="13" customFormat="1" ht="20.25" customHeight="1">
      <c r="D999" s="667"/>
      <c r="E999" s="667"/>
      <c r="G999" s="743"/>
      <c r="H999" s="743"/>
      <c r="I999" s="743"/>
      <c r="J999" s="743"/>
      <c r="K999" s="743"/>
      <c r="L999" s="743"/>
      <c r="M999" s="743"/>
      <c r="N999" s="744"/>
      <c r="O999" s="744"/>
      <c r="P999" s="744"/>
    </row>
    <row r="1000" spans="4:16" s="13" customFormat="1" ht="20.25" customHeight="1">
      <c r="D1000" s="667"/>
      <c r="E1000" s="667"/>
      <c r="G1000" s="743"/>
      <c r="H1000" s="743"/>
      <c r="I1000" s="743"/>
      <c r="J1000" s="743"/>
      <c r="K1000" s="743"/>
      <c r="L1000" s="743"/>
      <c r="M1000" s="743"/>
      <c r="N1000" s="744"/>
      <c r="O1000" s="744"/>
      <c r="P1000" s="744"/>
    </row>
    <row r="1001" spans="4:16" s="13" customFormat="1" ht="20.25" customHeight="1">
      <c r="D1001" s="667"/>
      <c r="E1001" s="667"/>
      <c r="G1001" s="743"/>
      <c r="H1001" s="743"/>
      <c r="I1001" s="743"/>
      <c r="J1001" s="743"/>
      <c r="K1001" s="743"/>
      <c r="L1001" s="743"/>
      <c r="M1001" s="743"/>
      <c r="N1001" s="744"/>
      <c r="O1001" s="744"/>
      <c r="P1001" s="744"/>
    </row>
    <row r="1002" spans="4:16" s="13" customFormat="1" ht="20.25" customHeight="1">
      <c r="D1002" s="667"/>
      <c r="E1002" s="667"/>
      <c r="G1002" s="743"/>
      <c r="H1002" s="743"/>
      <c r="I1002" s="743"/>
      <c r="J1002" s="743"/>
      <c r="K1002" s="743"/>
      <c r="L1002" s="743"/>
      <c r="M1002" s="743"/>
      <c r="N1002" s="744"/>
      <c r="O1002" s="744"/>
      <c r="P1002" s="744"/>
    </row>
    <row r="1003" spans="4:16" s="13" customFormat="1" ht="20.25" customHeight="1">
      <c r="D1003" s="667"/>
      <c r="E1003" s="667"/>
      <c r="G1003" s="743"/>
      <c r="H1003" s="743"/>
      <c r="I1003" s="743"/>
      <c r="J1003" s="743"/>
      <c r="K1003" s="743"/>
      <c r="L1003" s="743"/>
      <c r="M1003" s="743"/>
      <c r="N1003" s="744"/>
      <c r="O1003" s="744"/>
      <c r="P1003" s="744"/>
    </row>
    <row r="1004" spans="4:16" s="13" customFormat="1" ht="20.25" customHeight="1">
      <c r="D1004" s="667"/>
      <c r="E1004" s="667"/>
      <c r="G1004" s="743"/>
      <c r="H1004" s="743"/>
      <c r="I1004" s="743"/>
      <c r="J1004" s="743"/>
      <c r="K1004" s="743"/>
      <c r="L1004" s="743"/>
      <c r="M1004" s="743"/>
      <c r="N1004" s="744"/>
      <c r="O1004" s="744"/>
      <c r="P1004" s="744"/>
    </row>
    <row r="1005" spans="4:16" s="13" customFormat="1" ht="20.25" customHeight="1">
      <c r="D1005" s="667"/>
      <c r="E1005" s="667"/>
      <c r="G1005" s="743"/>
      <c r="H1005" s="743"/>
      <c r="I1005" s="743"/>
      <c r="J1005" s="743"/>
      <c r="K1005" s="743"/>
      <c r="L1005" s="743"/>
      <c r="M1005" s="743"/>
      <c r="N1005" s="744"/>
      <c r="O1005" s="744"/>
      <c r="P1005" s="744"/>
    </row>
    <row r="1006" spans="4:16" s="13" customFormat="1" ht="20.25" customHeight="1">
      <c r="D1006" s="667"/>
      <c r="E1006" s="667"/>
      <c r="G1006" s="743"/>
      <c r="H1006" s="743"/>
      <c r="I1006" s="743"/>
      <c r="J1006" s="743"/>
      <c r="K1006" s="743"/>
      <c r="L1006" s="743"/>
      <c r="M1006" s="743"/>
      <c r="N1006" s="744"/>
      <c r="O1006" s="744"/>
      <c r="P1006" s="744"/>
    </row>
    <row r="1007" spans="4:16" s="13" customFormat="1" ht="20.25" customHeight="1">
      <c r="D1007" s="667"/>
      <c r="E1007" s="667"/>
      <c r="G1007" s="743"/>
      <c r="H1007" s="743"/>
      <c r="I1007" s="743"/>
      <c r="J1007" s="743"/>
      <c r="K1007" s="743"/>
      <c r="L1007" s="743"/>
      <c r="M1007" s="743"/>
      <c r="N1007" s="744"/>
      <c r="O1007" s="744"/>
      <c r="P1007" s="744"/>
    </row>
    <row r="1008" spans="4:16" s="13" customFormat="1" ht="20.25" customHeight="1">
      <c r="D1008" s="667"/>
      <c r="E1008" s="667"/>
      <c r="G1008" s="743"/>
      <c r="H1008" s="743"/>
      <c r="I1008" s="743"/>
      <c r="J1008" s="743"/>
      <c r="K1008" s="743"/>
      <c r="L1008" s="743"/>
      <c r="M1008" s="743"/>
      <c r="N1008" s="744"/>
      <c r="O1008" s="744"/>
      <c r="P1008" s="744"/>
    </row>
    <row r="1009" spans="4:16" s="13" customFormat="1" ht="20.25" customHeight="1">
      <c r="D1009" s="667"/>
      <c r="E1009" s="667"/>
      <c r="G1009" s="743"/>
      <c r="H1009" s="743"/>
      <c r="I1009" s="743"/>
      <c r="J1009" s="743"/>
      <c r="K1009" s="743"/>
      <c r="L1009" s="743"/>
      <c r="M1009" s="743"/>
      <c r="N1009" s="744"/>
      <c r="O1009" s="744"/>
      <c r="P1009" s="744"/>
    </row>
    <row r="1010" spans="4:16" s="13" customFormat="1" ht="20.25" customHeight="1">
      <c r="D1010" s="667"/>
      <c r="E1010" s="667"/>
      <c r="G1010" s="743"/>
      <c r="H1010" s="743"/>
      <c r="I1010" s="743"/>
      <c r="J1010" s="743"/>
      <c r="K1010" s="743"/>
      <c r="L1010" s="743"/>
      <c r="M1010" s="743"/>
      <c r="N1010" s="744"/>
      <c r="O1010" s="744"/>
      <c r="P1010" s="744"/>
    </row>
    <row r="1011" spans="4:16" s="13" customFormat="1" ht="20.25" customHeight="1">
      <c r="D1011" s="667"/>
      <c r="E1011" s="667"/>
      <c r="G1011" s="743"/>
      <c r="H1011" s="743"/>
      <c r="I1011" s="743"/>
      <c r="J1011" s="743"/>
      <c r="K1011" s="743"/>
      <c r="L1011" s="743"/>
      <c r="M1011" s="743"/>
      <c r="N1011" s="744"/>
      <c r="O1011" s="744"/>
      <c r="P1011" s="744"/>
    </row>
    <row r="1012" spans="4:16" s="13" customFormat="1" ht="20.25" customHeight="1">
      <c r="D1012" s="667"/>
      <c r="E1012" s="667"/>
      <c r="G1012" s="743"/>
      <c r="H1012" s="743"/>
      <c r="I1012" s="743"/>
      <c r="J1012" s="743"/>
      <c r="K1012" s="743"/>
      <c r="L1012" s="743"/>
      <c r="M1012" s="743"/>
      <c r="N1012" s="744"/>
      <c r="O1012" s="744"/>
      <c r="P1012" s="744"/>
    </row>
    <row r="1013" spans="4:16" s="13" customFormat="1" ht="20.25" customHeight="1">
      <c r="D1013" s="667"/>
      <c r="E1013" s="667"/>
      <c r="G1013" s="743"/>
      <c r="H1013" s="743"/>
      <c r="I1013" s="743"/>
      <c r="J1013" s="743"/>
      <c r="K1013" s="743"/>
      <c r="L1013" s="743"/>
      <c r="M1013" s="743"/>
      <c r="N1013" s="744"/>
      <c r="O1013" s="744"/>
      <c r="P1013" s="744"/>
    </row>
    <row r="1014" spans="4:16" s="13" customFormat="1" ht="20.25" customHeight="1">
      <c r="D1014" s="667"/>
      <c r="E1014" s="667"/>
      <c r="G1014" s="743"/>
      <c r="H1014" s="743"/>
      <c r="I1014" s="743"/>
      <c r="J1014" s="743"/>
      <c r="K1014" s="743"/>
      <c r="L1014" s="743"/>
      <c r="M1014" s="743"/>
      <c r="N1014" s="744"/>
      <c r="O1014" s="744"/>
      <c r="P1014" s="744"/>
    </row>
    <row r="1015" spans="4:16" s="13" customFormat="1" ht="20.25" customHeight="1">
      <c r="D1015" s="667"/>
      <c r="E1015" s="667"/>
      <c r="G1015" s="743"/>
      <c r="H1015" s="743"/>
      <c r="I1015" s="743"/>
      <c r="J1015" s="743"/>
      <c r="K1015" s="743"/>
      <c r="L1015" s="743"/>
      <c r="M1015" s="743"/>
      <c r="N1015" s="744"/>
      <c r="O1015" s="744"/>
      <c r="P1015" s="744"/>
    </row>
    <row r="1016" spans="4:16" s="13" customFormat="1" ht="20.25" customHeight="1">
      <c r="D1016" s="667"/>
      <c r="E1016" s="667"/>
      <c r="G1016" s="743"/>
      <c r="H1016" s="743"/>
      <c r="I1016" s="743"/>
      <c r="J1016" s="743"/>
      <c r="K1016" s="743"/>
      <c r="L1016" s="743"/>
      <c r="M1016" s="743"/>
      <c r="N1016" s="744"/>
      <c r="O1016" s="744"/>
      <c r="P1016" s="744"/>
    </row>
    <row r="1017" spans="4:16" s="13" customFormat="1" ht="20.25" customHeight="1">
      <c r="D1017" s="667"/>
      <c r="E1017" s="667"/>
      <c r="G1017" s="743"/>
      <c r="H1017" s="743"/>
      <c r="I1017" s="743"/>
      <c r="J1017" s="743"/>
      <c r="K1017" s="743"/>
      <c r="L1017" s="743"/>
      <c r="M1017" s="743"/>
      <c r="N1017" s="744"/>
      <c r="O1017" s="744"/>
      <c r="P1017" s="744"/>
    </row>
    <row r="1018" spans="4:16" s="13" customFormat="1" ht="20.25" customHeight="1">
      <c r="D1018" s="667"/>
      <c r="E1018" s="667"/>
      <c r="G1018" s="743"/>
      <c r="H1018" s="743"/>
      <c r="I1018" s="743"/>
      <c r="J1018" s="743"/>
      <c r="K1018" s="743"/>
      <c r="L1018" s="743"/>
      <c r="M1018" s="743"/>
      <c r="N1018" s="744"/>
      <c r="O1018" s="744"/>
      <c r="P1018" s="744"/>
    </row>
    <row r="1019" spans="4:16" s="13" customFormat="1" ht="20.25" customHeight="1">
      <c r="D1019" s="667"/>
      <c r="E1019" s="667"/>
      <c r="G1019" s="743"/>
      <c r="H1019" s="743"/>
      <c r="I1019" s="743"/>
      <c r="J1019" s="743"/>
      <c r="K1019" s="743"/>
      <c r="L1019" s="743"/>
      <c r="M1019" s="743"/>
      <c r="N1019" s="744"/>
      <c r="O1019" s="744"/>
      <c r="P1019" s="744"/>
    </row>
    <row r="1020" spans="4:16" s="13" customFormat="1" ht="20.25" customHeight="1">
      <c r="D1020" s="667"/>
      <c r="E1020" s="667"/>
      <c r="G1020" s="743"/>
      <c r="H1020" s="743"/>
      <c r="I1020" s="743"/>
      <c r="J1020" s="743"/>
      <c r="K1020" s="743"/>
      <c r="L1020" s="743"/>
      <c r="M1020" s="743"/>
      <c r="N1020" s="744"/>
      <c r="O1020" s="744"/>
      <c r="P1020" s="744"/>
    </row>
    <row r="1021" spans="4:16" s="13" customFormat="1" ht="20.25" customHeight="1">
      <c r="D1021" s="667"/>
      <c r="E1021" s="667"/>
      <c r="G1021" s="743"/>
      <c r="H1021" s="743"/>
      <c r="I1021" s="743"/>
      <c r="J1021" s="743"/>
      <c r="K1021" s="743"/>
      <c r="L1021" s="743"/>
      <c r="M1021" s="743"/>
      <c r="N1021" s="744"/>
      <c r="O1021" s="744"/>
      <c r="P1021" s="744"/>
    </row>
    <row r="1022" spans="4:16" s="13" customFormat="1" ht="20.25" customHeight="1">
      <c r="D1022" s="667"/>
      <c r="E1022" s="667"/>
      <c r="G1022" s="743"/>
      <c r="H1022" s="743"/>
      <c r="I1022" s="743"/>
      <c r="J1022" s="743"/>
      <c r="K1022" s="743"/>
      <c r="L1022" s="743"/>
      <c r="M1022" s="743"/>
      <c r="N1022" s="744"/>
      <c r="O1022" s="744"/>
      <c r="P1022" s="744"/>
    </row>
    <row r="1023" spans="4:16" s="13" customFormat="1" ht="20.25" customHeight="1">
      <c r="D1023" s="667"/>
      <c r="E1023" s="667"/>
      <c r="G1023" s="743"/>
      <c r="H1023" s="743"/>
      <c r="I1023" s="743"/>
      <c r="J1023" s="743"/>
      <c r="K1023" s="743"/>
      <c r="L1023" s="743"/>
      <c r="M1023" s="743"/>
      <c r="N1023" s="744"/>
      <c r="O1023" s="744"/>
      <c r="P1023" s="744"/>
    </row>
    <row r="1024" spans="4:16" s="13" customFormat="1" ht="20.25" customHeight="1">
      <c r="D1024" s="667"/>
      <c r="E1024" s="667"/>
      <c r="G1024" s="743"/>
      <c r="H1024" s="743"/>
      <c r="I1024" s="743"/>
      <c r="J1024" s="743"/>
      <c r="K1024" s="743"/>
      <c r="L1024" s="743"/>
      <c r="M1024" s="743"/>
      <c r="N1024" s="744"/>
      <c r="O1024" s="744"/>
      <c r="P1024" s="744"/>
    </row>
    <row r="1025" spans="4:16" s="13" customFormat="1" ht="20.25" customHeight="1">
      <c r="D1025" s="667"/>
      <c r="E1025" s="667"/>
      <c r="G1025" s="743"/>
      <c r="H1025" s="743"/>
      <c r="I1025" s="743"/>
      <c r="J1025" s="743"/>
      <c r="K1025" s="743"/>
      <c r="L1025" s="743"/>
      <c r="M1025" s="743"/>
      <c r="N1025" s="744"/>
      <c r="O1025" s="744"/>
      <c r="P1025" s="744"/>
    </row>
    <row r="1026" spans="4:16" s="13" customFormat="1" ht="20.25" customHeight="1">
      <c r="D1026" s="667"/>
      <c r="E1026" s="667"/>
      <c r="G1026" s="743"/>
      <c r="H1026" s="743"/>
      <c r="I1026" s="743"/>
      <c r="J1026" s="743"/>
      <c r="K1026" s="743"/>
      <c r="L1026" s="743"/>
      <c r="M1026" s="743"/>
      <c r="N1026" s="744"/>
      <c r="O1026" s="744"/>
      <c r="P1026" s="744"/>
    </row>
    <row r="1027" spans="4:16" s="13" customFormat="1" ht="20.25" customHeight="1">
      <c r="D1027" s="667"/>
      <c r="E1027" s="667"/>
      <c r="G1027" s="743"/>
      <c r="H1027" s="743"/>
      <c r="I1027" s="743"/>
      <c r="J1027" s="743"/>
      <c r="K1027" s="743"/>
      <c r="L1027" s="743"/>
      <c r="M1027" s="743"/>
      <c r="N1027" s="744"/>
      <c r="O1027" s="744"/>
      <c r="P1027" s="744"/>
    </row>
    <row r="1028" spans="4:16" s="13" customFormat="1" ht="20.25" customHeight="1">
      <c r="D1028" s="667"/>
      <c r="E1028" s="667"/>
      <c r="G1028" s="743"/>
      <c r="H1028" s="743"/>
      <c r="I1028" s="743"/>
      <c r="J1028" s="743"/>
      <c r="K1028" s="743"/>
      <c r="L1028" s="743"/>
      <c r="M1028" s="743"/>
      <c r="N1028" s="744"/>
      <c r="O1028" s="744"/>
      <c r="P1028" s="744"/>
    </row>
    <row r="1029" spans="4:16" s="13" customFormat="1" ht="20.25" customHeight="1">
      <c r="D1029" s="667"/>
      <c r="E1029" s="667"/>
      <c r="G1029" s="743"/>
      <c r="H1029" s="743"/>
      <c r="I1029" s="743"/>
      <c r="J1029" s="743"/>
      <c r="K1029" s="743"/>
      <c r="L1029" s="743"/>
      <c r="M1029" s="743"/>
      <c r="N1029" s="744"/>
      <c r="O1029" s="744"/>
      <c r="P1029" s="744"/>
    </row>
    <row r="1030" spans="4:16" s="13" customFormat="1" ht="20.25" customHeight="1">
      <c r="D1030" s="667"/>
      <c r="E1030" s="667"/>
      <c r="G1030" s="743"/>
      <c r="H1030" s="743"/>
      <c r="I1030" s="743"/>
      <c r="J1030" s="743"/>
      <c r="K1030" s="743"/>
      <c r="L1030" s="743"/>
      <c r="M1030" s="743"/>
      <c r="N1030" s="744"/>
      <c r="O1030" s="744"/>
      <c r="P1030" s="744"/>
    </row>
    <row r="1031" spans="4:16" s="13" customFormat="1" ht="20.25" customHeight="1">
      <c r="D1031" s="667"/>
      <c r="E1031" s="667"/>
      <c r="G1031" s="743"/>
      <c r="H1031" s="743"/>
      <c r="I1031" s="743"/>
      <c r="J1031" s="743"/>
      <c r="K1031" s="743"/>
      <c r="L1031" s="743"/>
      <c r="M1031" s="743"/>
      <c r="N1031" s="744"/>
      <c r="O1031" s="744"/>
      <c r="P1031" s="744"/>
    </row>
    <row r="1032" spans="4:16" s="13" customFormat="1" ht="20.25" customHeight="1">
      <c r="D1032" s="667"/>
      <c r="E1032" s="667"/>
      <c r="G1032" s="743"/>
      <c r="H1032" s="743"/>
      <c r="I1032" s="743"/>
      <c r="J1032" s="743"/>
      <c r="K1032" s="743"/>
      <c r="L1032" s="743"/>
      <c r="M1032" s="743"/>
      <c r="N1032" s="744"/>
      <c r="O1032" s="744"/>
      <c r="P1032" s="744"/>
    </row>
    <row r="1033" spans="4:16" s="13" customFormat="1" ht="20.25" customHeight="1">
      <c r="D1033" s="667"/>
      <c r="E1033" s="667"/>
      <c r="G1033" s="743"/>
      <c r="H1033" s="743"/>
      <c r="I1033" s="743"/>
      <c r="J1033" s="743"/>
      <c r="K1033" s="743"/>
      <c r="L1033" s="743"/>
      <c r="M1033" s="743"/>
      <c r="N1033" s="744"/>
      <c r="O1033" s="744"/>
      <c r="P1033" s="744"/>
    </row>
    <row r="1034" spans="4:16" s="13" customFormat="1" ht="20.25" customHeight="1">
      <c r="D1034" s="667"/>
      <c r="E1034" s="667"/>
      <c r="G1034" s="743"/>
      <c r="H1034" s="743"/>
      <c r="I1034" s="743"/>
      <c r="J1034" s="743"/>
      <c r="K1034" s="743"/>
      <c r="L1034" s="743"/>
      <c r="M1034" s="743"/>
      <c r="N1034" s="744"/>
      <c r="O1034" s="744"/>
      <c r="P1034" s="744"/>
    </row>
    <row r="1035" spans="4:16" s="13" customFormat="1" ht="20.25" customHeight="1">
      <c r="D1035" s="667"/>
      <c r="E1035" s="667"/>
      <c r="G1035" s="743"/>
      <c r="H1035" s="743"/>
      <c r="I1035" s="743"/>
      <c r="J1035" s="743"/>
      <c r="K1035" s="743"/>
      <c r="L1035" s="743"/>
      <c r="M1035" s="743"/>
      <c r="N1035" s="744"/>
      <c r="O1035" s="744"/>
      <c r="P1035" s="744"/>
    </row>
    <row r="1036" spans="4:16" s="13" customFormat="1" ht="20.25" customHeight="1">
      <c r="D1036" s="667"/>
      <c r="E1036" s="667"/>
      <c r="G1036" s="743"/>
      <c r="H1036" s="743"/>
      <c r="I1036" s="743"/>
      <c r="J1036" s="743"/>
      <c r="K1036" s="743"/>
      <c r="L1036" s="743"/>
      <c r="M1036" s="743"/>
      <c r="N1036" s="744"/>
      <c r="O1036" s="744"/>
      <c r="P1036" s="744"/>
    </row>
    <row r="1037" spans="4:16" s="13" customFormat="1" ht="20.25" customHeight="1">
      <c r="D1037" s="667"/>
      <c r="E1037" s="667"/>
      <c r="G1037" s="743"/>
      <c r="H1037" s="743"/>
      <c r="I1037" s="743"/>
      <c r="J1037" s="743"/>
      <c r="K1037" s="743"/>
      <c r="L1037" s="743"/>
      <c r="M1037" s="743"/>
      <c r="N1037" s="744"/>
      <c r="O1037" s="744"/>
      <c r="P1037" s="744"/>
    </row>
    <row r="1038" spans="4:16" s="13" customFormat="1" ht="20.25" customHeight="1">
      <c r="D1038" s="667"/>
      <c r="E1038" s="667"/>
      <c r="G1038" s="743"/>
      <c r="H1038" s="743"/>
      <c r="I1038" s="743"/>
      <c r="J1038" s="743"/>
      <c r="K1038" s="743"/>
      <c r="L1038" s="743"/>
      <c r="M1038" s="743"/>
      <c r="N1038" s="744"/>
      <c r="O1038" s="744"/>
      <c r="P1038" s="744"/>
    </row>
    <row r="1039" spans="4:16" s="13" customFormat="1" ht="20.25" customHeight="1">
      <c r="D1039" s="667"/>
      <c r="E1039" s="667"/>
      <c r="G1039" s="743"/>
      <c r="H1039" s="743"/>
      <c r="I1039" s="743"/>
      <c r="J1039" s="743"/>
      <c r="K1039" s="743"/>
      <c r="L1039" s="743"/>
      <c r="M1039" s="743"/>
      <c r="N1039" s="744"/>
      <c r="O1039" s="744"/>
      <c r="P1039" s="744"/>
    </row>
    <row r="1040" spans="4:16" s="13" customFormat="1" ht="20.25" customHeight="1">
      <c r="D1040" s="667"/>
      <c r="E1040" s="667"/>
      <c r="G1040" s="743"/>
      <c r="H1040" s="743"/>
      <c r="I1040" s="743"/>
      <c r="J1040" s="743"/>
      <c r="K1040" s="743"/>
      <c r="L1040" s="743"/>
      <c r="M1040" s="743"/>
      <c r="N1040" s="744"/>
      <c r="O1040" s="744"/>
      <c r="P1040" s="744"/>
    </row>
    <row r="1041" spans="4:16" s="13" customFormat="1" ht="20.25" customHeight="1">
      <c r="D1041" s="667"/>
      <c r="E1041" s="667"/>
      <c r="G1041" s="743"/>
      <c r="H1041" s="743"/>
      <c r="I1041" s="743"/>
      <c r="J1041" s="743"/>
      <c r="K1041" s="743"/>
      <c r="L1041" s="743"/>
      <c r="M1041" s="743"/>
      <c r="N1041" s="744"/>
      <c r="O1041" s="744"/>
      <c r="P1041" s="744"/>
    </row>
    <row r="1042" spans="4:16" s="13" customFormat="1" ht="20.25" customHeight="1">
      <c r="D1042" s="667"/>
      <c r="E1042" s="667"/>
      <c r="G1042" s="743"/>
      <c r="H1042" s="743"/>
      <c r="I1042" s="743"/>
      <c r="J1042" s="743"/>
      <c r="K1042" s="743"/>
      <c r="L1042" s="743"/>
      <c r="M1042" s="743"/>
      <c r="N1042" s="744"/>
      <c r="O1042" s="744"/>
      <c r="P1042" s="744"/>
    </row>
    <row r="1043" spans="4:16" s="13" customFormat="1" ht="20.25" customHeight="1">
      <c r="D1043" s="667"/>
      <c r="E1043" s="667"/>
      <c r="G1043" s="743"/>
      <c r="H1043" s="743"/>
      <c r="I1043" s="743"/>
      <c r="J1043" s="743"/>
      <c r="K1043" s="743"/>
      <c r="L1043" s="743"/>
      <c r="M1043" s="743"/>
      <c r="N1043" s="744"/>
      <c r="O1043" s="744"/>
      <c r="P1043" s="744"/>
    </row>
    <row r="1044" spans="4:16" s="13" customFormat="1" ht="20.25" customHeight="1">
      <c r="D1044" s="667"/>
      <c r="E1044" s="667"/>
      <c r="G1044" s="743"/>
      <c r="H1044" s="743"/>
      <c r="I1044" s="743"/>
      <c r="J1044" s="743"/>
      <c r="K1044" s="743"/>
      <c r="L1044" s="743"/>
      <c r="M1044" s="743"/>
      <c r="N1044" s="744"/>
      <c r="O1044" s="744"/>
      <c r="P1044" s="744"/>
    </row>
    <row r="1045" spans="4:16" s="13" customFormat="1" ht="20.25" customHeight="1">
      <c r="D1045" s="667"/>
      <c r="E1045" s="667"/>
      <c r="G1045" s="743"/>
      <c r="H1045" s="743"/>
      <c r="I1045" s="743"/>
      <c r="J1045" s="743"/>
      <c r="K1045" s="743"/>
      <c r="L1045" s="743"/>
      <c r="M1045" s="743"/>
      <c r="N1045" s="744"/>
      <c r="O1045" s="744"/>
      <c r="P1045" s="744"/>
    </row>
    <row r="1046" spans="4:16" s="13" customFormat="1" ht="20.25" customHeight="1">
      <c r="D1046" s="667"/>
      <c r="E1046" s="667"/>
      <c r="G1046" s="743"/>
      <c r="H1046" s="743"/>
      <c r="I1046" s="743"/>
      <c r="J1046" s="743"/>
      <c r="K1046" s="743"/>
      <c r="L1046" s="743"/>
      <c r="M1046" s="743"/>
      <c r="N1046" s="744"/>
      <c r="O1046" s="744"/>
      <c r="P1046" s="744"/>
    </row>
    <row r="1047" spans="4:16" s="13" customFormat="1" ht="20.25" customHeight="1">
      <c r="D1047" s="667"/>
      <c r="E1047" s="667"/>
      <c r="G1047" s="743"/>
      <c r="H1047" s="743"/>
      <c r="I1047" s="743"/>
      <c r="J1047" s="743"/>
      <c r="K1047" s="743"/>
      <c r="L1047" s="743"/>
      <c r="M1047" s="743"/>
      <c r="N1047" s="744"/>
      <c r="O1047" s="744"/>
      <c r="P1047" s="744"/>
    </row>
    <row r="1048" spans="4:16" s="13" customFormat="1" ht="20.25" customHeight="1">
      <c r="D1048" s="667"/>
      <c r="E1048" s="667"/>
      <c r="G1048" s="743"/>
      <c r="H1048" s="743"/>
      <c r="I1048" s="743"/>
      <c r="J1048" s="743"/>
      <c r="K1048" s="743"/>
      <c r="L1048" s="743"/>
      <c r="M1048" s="743"/>
      <c r="N1048" s="744"/>
      <c r="O1048" s="744"/>
      <c r="P1048" s="744"/>
    </row>
    <row r="1049" spans="4:16" s="13" customFormat="1" ht="20.25" customHeight="1">
      <c r="D1049" s="667"/>
      <c r="E1049" s="667"/>
      <c r="G1049" s="743"/>
      <c r="H1049" s="743"/>
      <c r="I1049" s="743"/>
      <c r="J1049" s="743"/>
      <c r="K1049" s="743"/>
      <c r="L1049" s="743"/>
      <c r="M1049" s="743"/>
      <c r="N1049" s="744"/>
      <c r="O1049" s="744"/>
      <c r="P1049" s="744"/>
    </row>
    <row r="1050" spans="4:16" s="13" customFormat="1" ht="20.25" customHeight="1">
      <c r="D1050" s="667"/>
      <c r="E1050" s="667"/>
      <c r="G1050" s="743"/>
      <c r="H1050" s="743"/>
      <c r="I1050" s="743"/>
      <c r="J1050" s="743"/>
      <c r="K1050" s="743"/>
      <c r="L1050" s="743"/>
      <c r="M1050" s="743"/>
      <c r="N1050" s="744"/>
      <c r="O1050" s="744"/>
      <c r="P1050" s="744"/>
    </row>
    <row r="1051" spans="4:16" s="13" customFormat="1" ht="20.25" customHeight="1">
      <c r="D1051" s="667"/>
      <c r="E1051" s="667"/>
      <c r="G1051" s="743"/>
      <c r="H1051" s="743"/>
      <c r="I1051" s="743"/>
      <c r="J1051" s="743"/>
      <c r="K1051" s="743"/>
      <c r="L1051" s="743"/>
      <c r="M1051" s="743"/>
      <c r="N1051" s="744"/>
      <c r="O1051" s="744"/>
      <c r="P1051" s="744"/>
    </row>
    <row r="1052" spans="4:16" s="13" customFormat="1" ht="20.25" customHeight="1">
      <c r="D1052" s="667"/>
      <c r="E1052" s="667"/>
      <c r="G1052" s="743"/>
      <c r="H1052" s="743"/>
      <c r="I1052" s="743"/>
      <c r="J1052" s="743"/>
      <c r="K1052" s="743"/>
      <c r="L1052" s="743"/>
      <c r="M1052" s="743"/>
      <c r="N1052" s="744"/>
      <c r="O1052" s="744"/>
      <c r="P1052" s="744"/>
    </row>
    <row r="1053" spans="4:16" s="13" customFormat="1" ht="20.25" customHeight="1">
      <c r="D1053" s="667"/>
      <c r="E1053" s="667"/>
      <c r="G1053" s="743"/>
      <c r="H1053" s="743"/>
      <c r="I1053" s="743"/>
      <c r="J1053" s="743"/>
      <c r="K1053" s="743"/>
      <c r="L1053" s="743"/>
      <c r="M1053" s="743"/>
      <c r="N1053" s="744"/>
      <c r="O1053" s="744"/>
      <c r="P1053" s="744"/>
    </row>
    <row r="1054" spans="4:16" s="13" customFormat="1" ht="20.25" customHeight="1">
      <c r="D1054" s="667"/>
      <c r="E1054" s="667"/>
      <c r="G1054" s="743"/>
      <c r="H1054" s="743"/>
      <c r="I1054" s="743"/>
      <c r="J1054" s="743"/>
      <c r="K1054" s="743"/>
      <c r="L1054" s="743"/>
      <c r="M1054" s="743"/>
      <c r="N1054" s="744"/>
      <c r="O1054" s="744"/>
      <c r="P1054" s="744"/>
    </row>
    <row r="1055" spans="4:16" s="13" customFormat="1" ht="20.25" customHeight="1">
      <c r="D1055" s="667"/>
      <c r="E1055" s="667"/>
      <c r="G1055" s="743"/>
      <c r="H1055" s="743"/>
      <c r="I1055" s="743"/>
      <c r="J1055" s="743"/>
      <c r="K1055" s="743"/>
      <c r="L1055" s="743"/>
      <c r="M1055" s="743"/>
      <c r="N1055" s="744"/>
      <c r="O1055" s="744"/>
      <c r="P1055" s="744"/>
    </row>
    <row r="1056" spans="4:16" s="13" customFormat="1" ht="20.25" customHeight="1">
      <c r="D1056" s="667"/>
      <c r="E1056" s="667"/>
      <c r="G1056" s="743"/>
      <c r="H1056" s="743"/>
      <c r="I1056" s="743"/>
      <c r="J1056" s="743"/>
      <c r="K1056" s="743"/>
      <c r="L1056" s="743"/>
      <c r="M1056" s="743"/>
      <c r="N1056" s="744"/>
      <c r="O1056" s="744"/>
      <c r="P1056" s="744"/>
    </row>
    <row r="1057" spans="4:16" s="13" customFormat="1" ht="20.25" customHeight="1">
      <c r="D1057" s="667"/>
      <c r="E1057" s="667"/>
      <c r="G1057" s="743"/>
      <c r="H1057" s="743"/>
      <c r="I1057" s="743"/>
      <c r="J1057" s="743"/>
      <c r="K1057" s="743"/>
      <c r="L1057" s="743"/>
      <c r="M1057" s="743"/>
      <c r="N1057" s="744"/>
      <c r="O1057" s="744"/>
      <c r="P1057" s="744"/>
    </row>
    <row r="1058" spans="4:16" s="13" customFormat="1" ht="20.25" customHeight="1">
      <c r="D1058" s="667"/>
      <c r="E1058" s="667"/>
      <c r="G1058" s="743"/>
      <c r="H1058" s="743"/>
      <c r="I1058" s="743"/>
      <c r="J1058" s="743"/>
      <c r="K1058" s="743"/>
      <c r="L1058" s="743"/>
      <c r="M1058" s="743"/>
      <c r="N1058" s="744"/>
      <c r="O1058" s="744"/>
      <c r="P1058" s="744"/>
    </row>
    <row r="1059" spans="4:16" s="13" customFormat="1" ht="20.25" customHeight="1">
      <c r="D1059" s="667"/>
      <c r="E1059" s="667"/>
      <c r="G1059" s="743"/>
      <c r="H1059" s="743"/>
      <c r="I1059" s="743"/>
      <c r="J1059" s="743"/>
      <c r="K1059" s="743"/>
      <c r="L1059" s="743"/>
      <c r="M1059" s="743"/>
      <c r="N1059" s="744"/>
      <c r="O1059" s="744"/>
      <c r="P1059" s="744"/>
    </row>
    <row r="1060" spans="4:16" s="13" customFormat="1" ht="20.25" customHeight="1">
      <c r="D1060" s="667"/>
      <c r="E1060" s="667"/>
      <c r="G1060" s="743"/>
      <c r="H1060" s="743"/>
      <c r="I1060" s="743"/>
      <c r="J1060" s="743"/>
      <c r="K1060" s="743"/>
      <c r="L1060" s="743"/>
      <c r="M1060" s="743"/>
      <c r="N1060" s="744"/>
      <c r="O1060" s="744"/>
      <c r="P1060" s="744"/>
    </row>
    <row r="1061" spans="4:16" s="13" customFormat="1" ht="20.25" customHeight="1">
      <c r="D1061" s="667"/>
      <c r="E1061" s="667"/>
      <c r="G1061" s="743"/>
      <c r="H1061" s="743"/>
      <c r="I1061" s="743"/>
      <c r="J1061" s="743"/>
      <c r="K1061" s="743"/>
      <c r="L1061" s="743"/>
      <c r="M1061" s="743"/>
      <c r="N1061" s="744"/>
      <c r="O1061" s="744"/>
      <c r="P1061" s="744"/>
    </row>
    <row r="1062" spans="4:16" s="13" customFormat="1" ht="20.25" customHeight="1">
      <c r="D1062" s="667"/>
      <c r="E1062" s="667"/>
      <c r="G1062" s="743"/>
      <c r="H1062" s="743"/>
      <c r="I1062" s="743"/>
      <c r="J1062" s="743"/>
      <c r="K1062" s="743"/>
      <c r="L1062" s="743"/>
      <c r="M1062" s="743"/>
      <c r="N1062" s="744"/>
      <c r="O1062" s="744"/>
      <c r="P1062" s="744"/>
    </row>
    <row r="1063" spans="4:16" s="13" customFormat="1" ht="20.25" customHeight="1">
      <c r="D1063" s="667"/>
      <c r="E1063" s="667"/>
      <c r="G1063" s="743"/>
      <c r="H1063" s="743"/>
      <c r="I1063" s="743"/>
      <c r="J1063" s="743"/>
      <c r="K1063" s="743"/>
      <c r="L1063" s="743"/>
      <c r="M1063" s="743"/>
      <c r="N1063" s="744"/>
      <c r="O1063" s="744"/>
      <c r="P1063" s="744"/>
    </row>
    <row r="1064" spans="4:16" s="13" customFormat="1" ht="20.25" customHeight="1">
      <c r="D1064" s="667"/>
      <c r="E1064" s="667"/>
      <c r="G1064" s="743"/>
      <c r="H1064" s="743"/>
      <c r="I1064" s="743"/>
      <c r="J1064" s="743"/>
      <c r="K1064" s="743"/>
      <c r="L1064" s="743"/>
      <c r="M1064" s="743"/>
      <c r="N1064" s="744"/>
      <c r="O1064" s="744"/>
      <c r="P1064" s="744"/>
    </row>
    <row r="1065" spans="4:16" s="13" customFormat="1" ht="20.25" customHeight="1">
      <c r="D1065" s="667"/>
      <c r="E1065" s="667"/>
      <c r="G1065" s="743"/>
      <c r="H1065" s="743"/>
      <c r="I1065" s="743"/>
      <c r="J1065" s="743"/>
      <c r="K1065" s="743"/>
      <c r="L1065" s="743"/>
      <c r="M1065" s="743"/>
      <c r="N1065" s="744"/>
      <c r="O1065" s="744"/>
      <c r="P1065" s="744"/>
    </row>
    <row r="1066" spans="4:16" s="13" customFormat="1" ht="20.25" customHeight="1">
      <c r="D1066" s="667"/>
      <c r="E1066" s="667"/>
      <c r="G1066" s="743"/>
      <c r="H1066" s="743"/>
      <c r="I1066" s="743"/>
      <c r="J1066" s="743"/>
      <c r="K1066" s="743"/>
      <c r="L1066" s="743"/>
      <c r="M1066" s="743"/>
      <c r="N1066" s="744"/>
      <c r="O1066" s="744"/>
      <c r="P1066" s="744"/>
    </row>
    <row r="1067" spans="4:16" s="13" customFormat="1" ht="20.25" customHeight="1">
      <c r="D1067" s="667"/>
      <c r="E1067" s="667"/>
      <c r="G1067" s="743"/>
      <c r="H1067" s="743"/>
      <c r="I1067" s="743"/>
      <c r="J1067" s="743"/>
      <c r="K1067" s="743"/>
      <c r="L1067" s="743"/>
      <c r="M1067" s="743"/>
      <c r="N1067" s="744"/>
      <c r="O1067" s="744"/>
      <c r="P1067" s="744"/>
    </row>
    <row r="1068" spans="4:16" s="13" customFormat="1" ht="20.25" customHeight="1">
      <c r="D1068" s="667"/>
      <c r="E1068" s="667"/>
      <c r="G1068" s="743"/>
      <c r="H1068" s="743"/>
      <c r="I1068" s="743"/>
      <c r="J1068" s="743"/>
      <c r="K1068" s="743"/>
      <c r="L1068" s="743"/>
      <c r="M1068" s="743"/>
      <c r="N1068" s="744"/>
      <c r="O1068" s="744"/>
      <c r="P1068" s="744"/>
    </row>
    <row r="1069" spans="4:16" s="13" customFormat="1" ht="20.25" customHeight="1">
      <c r="D1069" s="667"/>
      <c r="E1069" s="667"/>
      <c r="G1069" s="743"/>
      <c r="H1069" s="743"/>
      <c r="I1069" s="743"/>
      <c r="J1069" s="743"/>
      <c r="K1069" s="743"/>
      <c r="L1069" s="743"/>
      <c r="M1069" s="743"/>
      <c r="N1069" s="744"/>
      <c r="O1069" s="744"/>
      <c r="P1069" s="744"/>
    </row>
    <row r="1070" spans="4:16" s="13" customFormat="1" ht="20.25" customHeight="1">
      <c r="D1070" s="667"/>
      <c r="E1070" s="667"/>
      <c r="G1070" s="743"/>
      <c r="H1070" s="743"/>
      <c r="I1070" s="743"/>
      <c r="J1070" s="743"/>
      <c r="K1070" s="743"/>
      <c r="L1070" s="743"/>
      <c r="M1070" s="743"/>
      <c r="N1070" s="744"/>
      <c r="O1070" s="744"/>
      <c r="P1070" s="744"/>
    </row>
    <row r="1071" spans="4:16" s="13" customFormat="1" ht="20.25" customHeight="1">
      <c r="D1071" s="667"/>
      <c r="E1071" s="667"/>
      <c r="G1071" s="743"/>
      <c r="H1071" s="743"/>
      <c r="I1071" s="743"/>
      <c r="J1071" s="743"/>
      <c r="K1071" s="743"/>
      <c r="L1071" s="743"/>
      <c r="M1071" s="743"/>
      <c r="N1071" s="744"/>
      <c r="O1071" s="744"/>
      <c r="P1071" s="744"/>
    </row>
    <row r="1072" spans="4:16" s="13" customFormat="1" ht="20.25" customHeight="1">
      <c r="D1072" s="667"/>
      <c r="E1072" s="667"/>
      <c r="G1072" s="743"/>
      <c r="H1072" s="743"/>
      <c r="I1072" s="743"/>
      <c r="J1072" s="743"/>
      <c r="K1072" s="743"/>
      <c r="L1072" s="743"/>
      <c r="M1072" s="743"/>
      <c r="N1072" s="744"/>
      <c r="O1072" s="744"/>
      <c r="P1072" s="744"/>
    </row>
    <row r="1073" spans="4:16" s="13" customFormat="1" ht="20.25" customHeight="1">
      <c r="D1073" s="667"/>
      <c r="E1073" s="667"/>
      <c r="G1073" s="743"/>
      <c r="H1073" s="743"/>
      <c r="I1073" s="743"/>
      <c r="J1073" s="743"/>
      <c r="K1073" s="743"/>
      <c r="L1073" s="743"/>
      <c r="M1073" s="743"/>
      <c r="N1073" s="744"/>
      <c r="O1073" s="744"/>
      <c r="P1073" s="744"/>
    </row>
    <row r="1074" spans="4:16" s="13" customFormat="1" ht="20.25" customHeight="1">
      <c r="D1074" s="667"/>
      <c r="E1074" s="667"/>
      <c r="G1074" s="743"/>
      <c r="H1074" s="743"/>
      <c r="I1074" s="743"/>
      <c r="J1074" s="743"/>
      <c r="K1074" s="743"/>
      <c r="L1074" s="743"/>
      <c r="M1074" s="743"/>
      <c r="N1074" s="744"/>
      <c r="O1074" s="744"/>
      <c r="P1074" s="744"/>
    </row>
    <row r="1075" spans="4:16" s="13" customFormat="1" ht="20.25" customHeight="1">
      <c r="D1075" s="667"/>
      <c r="E1075" s="667"/>
      <c r="G1075" s="743"/>
      <c r="H1075" s="743"/>
      <c r="I1075" s="743"/>
      <c r="J1075" s="743"/>
      <c r="K1075" s="743"/>
      <c r="L1075" s="743"/>
      <c r="M1075" s="743"/>
      <c r="N1075" s="744"/>
      <c r="O1075" s="744"/>
      <c r="P1075" s="744"/>
    </row>
    <row r="1076" spans="4:16" s="13" customFormat="1" ht="20.25" customHeight="1">
      <c r="D1076" s="667"/>
      <c r="E1076" s="667"/>
      <c r="G1076" s="743"/>
      <c r="H1076" s="743"/>
      <c r="I1076" s="743"/>
      <c r="J1076" s="743"/>
      <c r="K1076" s="743"/>
      <c r="L1076" s="743"/>
      <c r="M1076" s="743"/>
      <c r="N1076" s="744"/>
      <c r="O1076" s="744"/>
      <c r="P1076" s="744"/>
    </row>
    <row r="1077" spans="4:16" s="13" customFormat="1" ht="20.25" customHeight="1">
      <c r="D1077" s="667"/>
      <c r="E1077" s="667"/>
      <c r="G1077" s="743"/>
      <c r="H1077" s="743"/>
      <c r="I1077" s="743"/>
      <c r="J1077" s="743"/>
      <c r="K1077" s="743"/>
      <c r="L1077" s="743"/>
      <c r="M1077" s="743"/>
      <c r="N1077" s="744"/>
      <c r="O1077" s="744"/>
      <c r="P1077" s="744"/>
    </row>
    <row r="1078" spans="4:16" s="13" customFormat="1" ht="20.25" customHeight="1">
      <c r="D1078" s="667"/>
      <c r="E1078" s="667"/>
      <c r="G1078" s="743"/>
      <c r="H1078" s="743"/>
      <c r="I1078" s="743"/>
      <c r="J1078" s="743"/>
      <c r="K1078" s="743"/>
      <c r="L1078" s="743"/>
      <c r="M1078" s="743"/>
      <c r="N1078" s="744"/>
      <c r="O1078" s="744"/>
      <c r="P1078" s="744"/>
    </row>
    <row r="1079" spans="4:16" s="13" customFormat="1" ht="20.25" customHeight="1">
      <c r="D1079" s="667"/>
      <c r="E1079" s="667"/>
      <c r="G1079" s="743"/>
      <c r="H1079" s="743"/>
      <c r="I1079" s="743"/>
      <c r="J1079" s="743"/>
      <c r="K1079" s="743"/>
      <c r="L1079" s="743"/>
      <c r="M1079" s="743"/>
      <c r="N1079" s="744"/>
      <c r="O1079" s="744"/>
      <c r="P1079" s="744"/>
    </row>
    <row r="1080" spans="4:16" s="13" customFormat="1" ht="20.25" customHeight="1">
      <c r="D1080" s="667"/>
      <c r="E1080" s="667"/>
      <c r="G1080" s="743"/>
      <c r="H1080" s="743"/>
      <c r="I1080" s="743"/>
      <c r="J1080" s="743"/>
      <c r="K1080" s="743"/>
      <c r="L1080" s="743"/>
      <c r="M1080" s="743"/>
      <c r="N1080" s="744"/>
      <c r="O1080" s="744"/>
      <c r="P1080" s="744"/>
    </row>
    <row r="1081" spans="4:16" s="13" customFormat="1" ht="20.25" customHeight="1">
      <c r="D1081" s="667"/>
      <c r="E1081" s="667"/>
      <c r="G1081" s="743"/>
      <c r="H1081" s="743"/>
      <c r="I1081" s="743"/>
      <c r="J1081" s="743"/>
      <c r="K1081" s="743"/>
      <c r="L1081" s="743"/>
      <c r="M1081" s="743"/>
      <c r="N1081" s="744"/>
      <c r="O1081" s="744"/>
      <c r="P1081" s="744"/>
    </row>
    <row r="1082" spans="4:16" s="13" customFormat="1" ht="20.25" customHeight="1">
      <c r="D1082" s="667"/>
      <c r="E1082" s="667"/>
      <c r="G1082" s="743"/>
      <c r="H1082" s="743"/>
      <c r="I1082" s="743"/>
      <c r="J1082" s="743"/>
      <c r="K1082" s="743"/>
      <c r="L1082" s="743"/>
      <c r="M1082" s="743"/>
      <c r="N1082" s="744"/>
      <c r="O1082" s="744"/>
      <c r="P1082" s="744"/>
    </row>
    <row r="1083" spans="4:16" s="13" customFormat="1" ht="20.25" customHeight="1">
      <c r="D1083" s="667"/>
      <c r="E1083" s="667"/>
      <c r="G1083" s="743"/>
      <c r="H1083" s="743"/>
      <c r="I1083" s="743"/>
      <c r="J1083" s="743"/>
      <c r="K1083" s="743"/>
      <c r="L1083" s="743"/>
      <c r="M1083" s="743"/>
      <c r="N1083" s="744"/>
      <c r="O1083" s="744"/>
      <c r="P1083" s="744"/>
    </row>
    <row r="1084" spans="4:16" s="13" customFormat="1" ht="20.25" customHeight="1">
      <c r="D1084" s="667"/>
      <c r="E1084" s="667"/>
      <c r="G1084" s="743"/>
      <c r="H1084" s="743"/>
      <c r="I1084" s="743"/>
      <c r="J1084" s="743"/>
      <c r="K1084" s="743"/>
      <c r="L1084" s="743"/>
      <c r="M1084" s="743"/>
      <c r="N1084" s="744"/>
      <c r="O1084" s="744"/>
      <c r="P1084" s="744"/>
    </row>
    <row r="1085" spans="4:16" s="13" customFormat="1" ht="20.25" customHeight="1">
      <c r="D1085" s="667"/>
      <c r="E1085" s="667"/>
      <c r="G1085" s="743"/>
      <c r="H1085" s="743"/>
      <c r="I1085" s="743"/>
      <c r="J1085" s="743"/>
      <c r="K1085" s="743"/>
      <c r="L1085" s="743"/>
      <c r="M1085" s="743"/>
      <c r="N1085" s="744"/>
      <c r="O1085" s="744"/>
      <c r="P1085" s="744"/>
    </row>
    <row r="1086" spans="4:16" s="13" customFormat="1" ht="20.25" customHeight="1">
      <c r="D1086" s="667"/>
      <c r="E1086" s="667"/>
      <c r="G1086" s="743"/>
      <c r="H1086" s="743"/>
      <c r="I1086" s="743"/>
      <c r="J1086" s="743"/>
      <c r="K1086" s="743"/>
      <c r="L1086" s="743"/>
      <c r="M1086" s="743"/>
      <c r="N1086" s="744"/>
      <c r="O1086" s="744"/>
      <c r="P1086" s="744"/>
    </row>
    <row r="1087" spans="4:16" s="13" customFormat="1" ht="20.25" customHeight="1">
      <c r="D1087" s="667"/>
      <c r="E1087" s="667"/>
      <c r="G1087" s="743"/>
      <c r="H1087" s="743"/>
      <c r="I1087" s="743"/>
      <c r="J1087" s="743"/>
      <c r="K1087" s="743"/>
      <c r="L1087" s="743"/>
      <c r="M1087" s="743"/>
      <c r="N1087" s="744"/>
      <c r="O1087" s="744"/>
      <c r="P1087" s="744"/>
    </row>
    <row r="1088" spans="4:16" s="13" customFormat="1" ht="20.25" customHeight="1">
      <c r="D1088" s="667"/>
      <c r="E1088" s="667"/>
      <c r="G1088" s="743"/>
      <c r="H1088" s="743"/>
      <c r="I1088" s="743"/>
      <c r="J1088" s="743"/>
      <c r="K1088" s="743"/>
      <c r="L1088" s="743"/>
      <c r="M1088" s="743"/>
      <c r="N1088" s="744"/>
      <c r="O1088" s="744"/>
      <c r="P1088" s="744"/>
    </row>
    <row r="1089" spans="4:16" s="13" customFormat="1" ht="20.25" customHeight="1">
      <c r="D1089" s="667"/>
      <c r="E1089" s="667"/>
      <c r="G1089" s="743"/>
      <c r="H1089" s="743"/>
      <c r="I1089" s="743"/>
      <c r="J1089" s="743"/>
      <c r="K1089" s="743"/>
      <c r="L1089" s="743"/>
      <c r="M1089" s="743"/>
      <c r="N1089" s="744"/>
      <c r="O1089" s="744"/>
      <c r="P1089" s="744"/>
    </row>
    <row r="1090" spans="4:16" s="13" customFormat="1" ht="20.25" customHeight="1">
      <c r="D1090" s="667"/>
      <c r="E1090" s="667"/>
      <c r="G1090" s="743"/>
      <c r="H1090" s="743"/>
      <c r="I1090" s="743"/>
      <c r="J1090" s="743"/>
      <c r="K1090" s="743"/>
      <c r="L1090" s="743"/>
      <c r="M1090" s="743"/>
      <c r="N1090" s="744"/>
      <c r="O1090" s="744"/>
      <c r="P1090" s="744"/>
    </row>
    <row r="1091" spans="4:16" s="13" customFormat="1" ht="20.25" customHeight="1">
      <c r="D1091" s="667"/>
      <c r="E1091" s="667"/>
      <c r="G1091" s="743"/>
      <c r="H1091" s="743"/>
      <c r="I1091" s="743"/>
      <c r="J1091" s="743"/>
      <c r="K1091" s="743"/>
      <c r="L1091" s="743"/>
      <c r="M1091" s="743"/>
      <c r="N1091" s="744"/>
      <c r="O1091" s="744"/>
      <c r="P1091" s="744"/>
    </row>
    <row r="1092" spans="4:16" s="13" customFormat="1" ht="20.25" customHeight="1">
      <c r="D1092" s="667"/>
      <c r="E1092" s="667"/>
      <c r="G1092" s="743"/>
      <c r="H1092" s="743"/>
      <c r="I1092" s="743"/>
      <c r="J1092" s="743"/>
      <c r="K1092" s="743"/>
      <c r="L1092" s="743"/>
      <c r="M1092" s="743"/>
      <c r="N1092" s="744"/>
      <c r="O1092" s="744"/>
      <c r="P1092" s="744"/>
    </row>
    <row r="1093" spans="4:16" s="13" customFormat="1" ht="20.25" customHeight="1">
      <c r="D1093" s="667"/>
      <c r="E1093" s="667"/>
      <c r="G1093" s="743"/>
      <c r="H1093" s="743"/>
      <c r="I1093" s="743"/>
      <c r="J1093" s="743"/>
      <c r="K1093" s="743"/>
      <c r="L1093" s="743"/>
      <c r="M1093" s="743"/>
      <c r="N1093" s="744"/>
      <c r="O1093" s="744"/>
      <c r="P1093" s="744"/>
    </row>
    <row r="1094" spans="4:16" s="13" customFormat="1" ht="20.25" customHeight="1">
      <c r="D1094" s="667"/>
      <c r="E1094" s="667"/>
      <c r="G1094" s="743"/>
      <c r="H1094" s="743"/>
      <c r="I1094" s="743"/>
      <c r="J1094" s="743"/>
      <c r="K1094" s="743"/>
      <c r="L1094" s="743"/>
      <c r="M1094" s="743"/>
      <c r="N1094" s="744"/>
      <c r="O1094" s="744"/>
      <c r="P1094" s="744"/>
    </row>
    <row r="1095" spans="4:16" s="13" customFormat="1" ht="20.25" customHeight="1">
      <c r="D1095" s="667"/>
      <c r="E1095" s="667"/>
      <c r="G1095" s="743"/>
      <c r="H1095" s="743"/>
      <c r="I1095" s="743"/>
      <c r="J1095" s="743"/>
      <c r="K1095" s="743"/>
      <c r="L1095" s="743"/>
      <c r="M1095" s="743"/>
      <c r="N1095" s="744"/>
      <c r="O1095" s="744"/>
      <c r="P1095" s="744"/>
    </row>
    <row r="1096" spans="4:16" s="13" customFormat="1" ht="20.25" customHeight="1">
      <c r="D1096" s="667"/>
      <c r="E1096" s="667"/>
      <c r="G1096" s="743"/>
      <c r="H1096" s="743"/>
      <c r="I1096" s="743"/>
      <c r="J1096" s="743"/>
      <c r="K1096" s="743"/>
      <c r="L1096" s="743"/>
      <c r="M1096" s="743"/>
      <c r="N1096" s="744"/>
      <c r="O1096" s="744"/>
      <c r="P1096" s="744"/>
    </row>
    <row r="1097" spans="4:16" s="13" customFormat="1" ht="20.25" customHeight="1">
      <c r="D1097" s="667"/>
      <c r="E1097" s="667"/>
      <c r="G1097" s="743"/>
      <c r="H1097" s="743"/>
      <c r="I1097" s="743"/>
      <c r="J1097" s="743"/>
      <c r="K1097" s="743"/>
      <c r="L1097" s="743"/>
      <c r="M1097" s="743"/>
      <c r="N1097" s="744"/>
      <c r="O1097" s="744"/>
      <c r="P1097" s="744"/>
    </row>
    <row r="1098" spans="4:16" s="13" customFormat="1" ht="20.25" customHeight="1">
      <c r="D1098" s="667"/>
      <c r="E1098" s="667"/>
      <c r="G1098" s="743"/>
      <c r="H1098" s="743"/>
      <c r="I1098" s="743"/>
      <c r="J1098" s="743"/>
      <c r="K1098" s="743"/>
      <c r="L1098" s="743"/>
      <c r="M1098" s="743"/>
      <c r="N1098" s="744"/>
      <c r="O1098" s="744"/>
      <c r="P1098" s="744"/>
    </row>
    <row r="1099" spans="4:16" s="13" customFormat="1" ht="20.25" customHeight="1">
      <c r="D1099" s="667"/>
      <c r="E1099" s="667"/>
      <c r="G1099" s="743"/>
      <c r="H1099" s="743"/>
      <c r="I1099" s="743"/>
      <c r="J1099" s="743"/>
      <c r="K1099" s="743"/>
      <c r="L1099" s="743"/>
      <c r="M1099" s="743"/>
      <c r="N1099" s="744"/>
      <c r="O1099" s="744"/>
      <c r="P1099" s="744"/>
    </row>
    <row r="1100" spans="4:16" s="13" customFormat="1" ht="20.25" customHeight="1">
      <c r="D1100" s="667"/>
      <c r="E1100" s="667"/>
      <c r="G1100" s="743"/>
      <c r="H1100" s="743"/>
      <c r="I1100" s="743"/>
      <c r="J1100" s="743"/>
      <c r="K1100" s="743"/>
      <c r="L1100" s="743"/>
      <c r="M1100" s="743"/>
      <c r="N1100" s="744"/>
      <c r="O1100" s="744"/>
      <c r="P1100" s="744"/>
    </row>
    <row r="1101" spans="4:16" s="13" customFormat="1" ht="20.25" customHeight="1">
      <c r="D1101" s="667"/>
      <c r="E1101" s="667"/>
      <c r="G1101" s="743"/>
      <c r="H1101" s="743"/>
      <c r="I1101" s="743"/>
      <c r="J1101" s="743"/>
      <c r="K1101" s="743"/>
      <c r="L1101" s="743"/>
      <c r="M1101" s="743"/>
      <c r="N1101" s="744"/>
      <c r="O1101" s="744"/>
      <c r="P1101" s="744"/>
    </row>
    <row r="1102" spans="4:16" s="13" customFormat="1" ht="20.25" customHeight="1">
      <c r="D1102" s="667"/>
      <c r="E1102" s="667"/>
      <c r="G1102" s="743"/>
      <c r="H1102" s="743"/>
      <c r="I1102" s="743"/>
      <c r="J1102" s="743"/>
      <c r="K1102" s="743"/>
      <c r="L1102" s="743"/>
      <c r="M1102" s="743"/>
      <c r="N1102" s="744"/>
      <c r="O1102" s="744"/>
      <c r="P1102" s="744"/>
    </row>
    <row r="1103" spans="4:16" s="13" customFormat="1" ht="20.25" customHeight="1">
      <c r="D1103" s="667"/>
      <c r="E1103" s="667"/>
      <c r="G1103" s="743"/>
      <c r="H1103" s="743"/>
      <c r="I1103" s="743"/>
      <c r="J1103" s="743"/>
      <c r="K1103" s="743"/>
      <c r="L1103" s="743"/>
      <c r="M1103" s="743"/>
      <c r="N1103" s="744"/>
      <c r="O1103" s="744"/>
      <c r="P1103" s="744"/>
    </row>
    <row r="1104" spans="4:16" s="13" customFormat="1" ht="20.25" customHeight="1">
      <c r="D1104" s="667"/>
      <c r="E1104" s="667"/>
      <c r="G1104" s="743"/>
      <c r="H1104" s="743"/>
      <c r="I1104" s="743"/>
      <c r="J1104" s="743"/>
      <c r="K1104" s="743"/>
      <c r="L1104" s="743"/>
      <c r="M1104" s="743"/>
      <c r="N1104" s="744"/>
      <c r="O1104" s="744"/>
      <c r="P1104" s="744"/>
    </row>
    <row r="1105" spans="4:16" s="13" customFormat="1" ht="20.25" customHeight="1">
      <c r="D1105" s="667"/>
      <c r="E1105" s="667"/>
      <c r="G1105" s="743"/>
      <c r="H1105" s="743"/>
      <c r="I1105" s="743"/>
      <c r="J1105" s="743"/>
      <c r="K1105" s="743"/>
      <c r="L1105" s="743"/>
      <c r="M1105" s="743"/>
      <c r="N1105" s="744"/>
      <c r="O1105" s="744"/>
      <c r="P1105" s="744"/>
    </row>
    <row r="1106" spans="4:16" s="13" customFormat="1" ht="20.25" customHeight="1">
      <c r="D1106" s="667"/>
      <c r="E1106" s="667"/>
      <c r="G1106" s="743"/>
      <c r="H1106" s="743"/>
      <c r="I1106" s="743"/>
      <c r="J1106" s="743"/>
      <c r="K1106" s="743"/>
      <c r="L1106" s="743"/>
      <c r="M1106" s="743"/>
      <c r="N1106" s="744"/>
      <c r="O1106" s="744"/>
      <c r="P1106" s="744"/>
    </row>
    <row r="1107" spans="4:16" s="13" customFormat="1" ht="20.25" customHeight="1">
      <c r="D1107" s="667"/>
      <c r="E1107" s="667"/>
      <c r="G1107" s="743"/>
      <c r="H1107" s="743"/>
      <c r="I1107" s="743"/>
      <c r="J1107" s="743"/>
      <c r="K1107" s="743"/>
      <c r="L1107" s="743"/>
      <c r="M1107" s="743"/>
      <c r="N1107" s="744"/>
      <c r="O1107" s="744"/>
      <c r="P1107" s="744"/>
    </row>
    <row r="1108" spans="4:16" s="13" customFormat="1" ht="20.25" customHeight="1">
      <c r="D1108" s="667"/>
      <c r="E1108" s="667"/>
      <c r="G1108" s="743"/>
      <c r="H1108" s="743"/>
      <c r="I1108" s="743"/>
      <c r="J1108" s="743"/>
      <c r="K1108" s="743"/>
      <c r="L1108" s="743"/>
      <c r="M1108" s="743"/>
      <c r="N1108" s="744"/>
      <c r="O1108" s="744"/>
      <c r="P1108" s="744"/>
    </row>
    <row r="1109" spans="4:16" s="13" customFormat="1" ht="20.25" customHeight="1">
      <c r="D1109" s="667"/>
      <c r="E1109" s="667"/>
      <c r="G1109" s="743"/>
      <c r="H1109" s="743"/>
      <c r="I1109" s="743"/>
      <c r="J1109" s="743"/>
      <c r="K1109" s="743"/>
      <c r="L1109" s="743"/>
      <c r="M1109" s="743"/>
      <c r="N1109" s="744"/>
      <c r="O1109" s="744"/>
      <c r="P1109" s="744"/>
    </row>
    <row r="1110" spans="4:16" s="13" customFormat="1" ht="20.25" customHeight="1">
      <c r="D1110" s="667"/>
      <c r="E1110" s="667"/>
      <c r="G1110" s="743"/>
      <c r="H1110" s="743"/>
      <c r="I1110" s="743"/>
      <c r="J1110" s="743"/>
      <c r="K1110" s="743"/>
      <c r="L1110" s="743"/>
      <c r="M1110" s="743"/>
      <c r="N1110" s="744"/>
      <c r="O1110" s="744"/>
      <c r="P1110" s="744"/>
    </row>
    <row r="1111" spans="4:16" s="13" customFormat="1" ht="20.25" customHeight="1">
      <c r="D1111" s="667"/>
      <c r="E1111" s="667"/>
      <c r="G1111" s="743"/>
      <c r="H1111" s="743"/>
      <c r="I1111" s="743"/>
      <c r="J1111" s="743"/>
      <c r="K1111" s="743"/>
      <c r="L1111" s="743"/>
      <c r="M1111" s="743"/>
      <c r="N1111" s="744"/>
      <c r="O1111" s="744"/>
      <c r="P1111" s="744"/>
    </row>
    <row r="1112" spans="4:16" s="13" customFormat="1" ht="20.25" customHeight="1">
      <c r="D1112" s="667"/>
      <c r="E1112" s="667"/>
      <c r="G1112" s="743"/>
      <c r="H1112" s="743"/>
      <c r="I1112" s="743"/>
      <c r="J1112" s="743"/>
      <c r="K1112" s="743"/>
      <c r="L1112" s="743"/>
      <c r="M1112" s="743"/>
      <c r="N1112" s="744"/>
      <c r="O1112" s="744"/>
      <c r="P1112" s="744"/>
    </row>
    <row r="1113" spans="4:16" s="13" customFormat="1" ht="20.25" customHeight="1">
      <c r="D1113" s="667"/>
      <c r="E1113" s="667"/>
      <c r="G1113" s="743"/>
      <c r="H1113" s="743"/>
      <c r="I1113" s="743"/>
      <c r="J1113" s="743"/>
      <c r="K1113" s="743"/>
      <c r="L1113" s="743"/>
      <c r="M1113" s="743"/>
      <c r="N1113" s="744"/>
      <c r="O1113" s="744"/>
      <c r="P1113" s="744"/>
    </row>
    <row r="1114" spans="4:16" s="13" customFormat="1" ht="20.25" customHeight="1">
      <c r="D1114" s="667"/>
      <c r="E1114" s="667"/>
      <c r="G1114" s="743"/>
      <c r="H1114" s="743"/>
      <c r="I1114" s="743"/>
      <c r="J1114" s="743"/>
      <c r="K1114" s="743"/>
      <c r="L1114" s="743"/>
      <c r="M1114" s="743"/>
      <c r="N1114" s="744"/>
      <c r="O1114" s="744"/>
      <c r="P1114" s="744"/>
    </row>
    <row r="1115" spans="4:16" s="13" customFormat="1" ht="20.25" customHeight="1">
      <c r="D1115" s="667"/>
      <c r="E1115" s="667"/>
      <c r="G1115" s="743"/>
      <c r="H1115" s="743"/>
      <c r="I1115" s="743"/>
      <c r="J1115" s="743"/>
      <c r="K1115" s="743"/>
      <c r="L1115" s="743"/>
      <c r="M1115" s="743"/>
      <c r="N1115" s="744"/>
      <c r="O1115" s="744"/>
      <c r="P1115" s="744"/>
    </row>
    <row r="1116" spans="4:16" s="13" customFormat="1" ht="20.25" customHeight="1">
      <c r="D1116" s="667"/>
      <c r="E1116" s="667"/>
      <c r="G1116" s="743"/>
      <c r="H1116" s="743"/>
      <c r="I1116" s="743"/>
      <c r="J1116" s="743"/>
      <c r="K1116" s="743"/>
      <c r="L1116" s="743"/>
      <c r="M1116" s="743"/>
      <c r="N1116" s="744"/>
      <c r="O1116" s="744"/>
      <c r="P1116" s="744"/>
    </row>
    <row r="1117" spans="4:16" s="13" customFormat="1" ht="20.25" customHeight="1">
      <c r="D1117" s="667"/>
      <c r="E1117" s="667"/>
      <c r="G1117" s="743"/>
      <c r="H1117" s="743"/>
      <c r="I1117" s="743"/>
      <c r="J1117" s="743"/>
      <c r="K1117" s="743"/>
      <c r="L1117" s="743"/>
      <c r="M1117" s="743"/>
      <c r="N1117" s="744"/>
      <c r="O1117" s="744"/>
      <c r="P1117" s="744"/>
    </row>
    <row r="1118" spans="4:16" s="13" customFormat="1" ht="20.25" customHeight="1">
      <c r="D1118" s="667"/>
      <c r="E1118" s="667"/>
      <c r="G1118" s="743"/>
      <c r="H1118" s="743"/>
      <c r="I1118" s="743"/>
      <c r="J1118" s="743"/>
      <c r="K1118" s="743"/>
      <c r="L1118" s="743"/>
      <c r="M1118" s="743"/>
      <c r="N1118" s="744"/>
      <c r="O1118" s="744"/>
      <c r="P1118" s="744"/>
    </row>
    <row r="1119" spans="4:16" s="13" customFormat="1" ht="20.25" customHeight="1">
      <c r="D1119" s="667"/>
      <c r="E1119" s="667"/>
      <c r="G1119" s="743"/>
      <c r="H1119" s="743"/>
      <c r="I1119" s="743"/>
      <c r="J1119" s="743"/>
      <c r="K1119" s="743"/>
      <c r="L1119" s="743"/>
      <c r="M1119" s="743"/>
      <c r="N1119" s="744"/>
      <c r="O1119" s="744"/>
      <c r="P1119" s="744"/>
    </row>
    <row r="1120" spans="4:16" s="13" customFormat="1" ht="20.25" customHeight="1">
      <c r="D1120" s="667"/>
      <c r="E1120" s="667"/>
      <c r="G1120" s="743"/>
      <c r="H1120" s="743"/>
      <c r="I1120" s="743"/>
      <c r="J1120" s="743"/>
      <c r="K1120" s="743"/>
      <c r="L1120" s="743"/>
      <c r="M1120" s="743"/>
      <c r="N1120" s="744"/>
      <c r="O1120" s="744"/>
      <c r="P1120" s="744"/>
    </row>
    <row r="1121" spans="4:16" s="13" customFormat="1" ht="20.25" customHeight="1">
      <c r="D1121" s="667"/>
      <c r="E1121" s="667"/>
      <c r="G1121" s="743"/>
      <c r="H1121" s="743"/>
      <c r="I1121" s="743"/>
      <c r="J1121" s="743"/>
      <c r="K1121" s="743"/>
      <c r="L1121" s="743"/>
      <c r="M1121" s="743"/>
      <c r="N1121" s="744"/>
      <c r="O1121" s="744"/>
      <c r="P1121" s="744"/>
    </row>
    <row r="1122" spans="4:16" s="13" customFormat="1" ht="20.25" customHeight="1">
      <c r="D1122" s="667"/>
      <c r="E1122" s="667"/>
      <c r="G1122" s="743"/>
      <c r="H1122" s="743"/>
      <c r="I1122" s="743"/>
      <c r="J1122" s="743"/>
      <c r="K1122" s="743"/>
      <c r="L1122" s="743"/>
      <c r="M1122" s="743"/>
      <c r="N1122" s="744"/>
      <c r="O1122" s="744"/>
      <c r="P1122" s="744"/>
    </row>
    <row r="1123" spans="4:16" s="13" customFormat="1" ht="20.25" customHeight="1">
      <c r="D1123" s="667"/>
      <c r="E1123" s="667"/>
      <c r="G1123" s="743"/>
      <c r="H1123" s="743"/>
      <c r="I1123" s="743"/>
      <c r="J1123" s="743"/>
      <c r="K1123" s="743"/>
      <c r="L1123" s="743"/>
      <c r="M1123" s="743"/>
      <c r="N1123" s="744"/>
      <c r="O1123" s="744"/>
      <c r="P1123" s="744"/>
    </row>
    <row r="1124" spans="4:16" s="13" customFormat="1" ht="20.25" customHeight="1">
      <c r="D1124" s="667"/>
      <c r="E1124" s="667"/>
      <c r="G1124" s="743"/>
      <c r="H1124" s="743"/>
      <c r="I1124" s="743"/>
      <c r="J1124" s="743"/>
      <c r="K1124" s="743"/>
      <c r="L1124" s="743"/>
      <c r="M1124" s="743"/>
      <c r="N1124" s="744"/>
      <c r="O1124" s="744"/>
      <c r="P1124" s="744"/>
    </row>
    <row r="1125" spans="4:16" s="13" customFormat="1" ht="20.25" customHeight="1">
      <c r="D1125" s="667"/>
      <c r="E1125" s="667"/>
      <c r="G1125" s="743"/>
      <c r="H1125" s="743"/>
      <c r="I1125" s="743"/>
      <c r="J1125" s="743"/>
      <c r="K1125" s="743"/>
      <c r="L1125" s="743"/>
      <c r="M1125" s="743"/>
      <c r="N1125" s="744"/>
      <c r="O1125" s="744"/>
      <c r="P1125" s="744"/>
    </row>
    <row r="1126" spans="4:16" s="13" customFormat="1" ht="20.25" customHeight="1">
      <c r="D1126" s="667"/>
      <c r="E1126" s="667"/>
      <c r="G1126" s="743"/>
      <c r="H1126" s="743"/>
      <c r="I1126" s="743"/>
      <c r="J1126" s="743"/>
      <c r="K1126" s="743"/>
      <c r="L1126" s="743"/>
      <c r="M1126" s="743"/>
      <c r="N1126" s="744"/>
      <c r="O1126" s="744"/>
      <c r="P1126" s="744"/>
    </row>
    <row r="1127" spans="4:16" s="13" customFormat="1" ht="20.25" customHeight="1">
      <c r="D1127" s="667"/>
      <c r="E1127" s="667"/>
      <c r="G1127" s="743"/>
      <c r="H1127" s="743"/>
      <c r="I1127" s="743"/>
      <c r="J1127" s="743"/>
      <c r="K1127" s="743"/>
      <c r="L1127" s="743"/>
      <c r="M1127" s="743"/>
      <c r="N1127" s="744"/>
      <c r="O1127" s="744"/>
      <c r="P1127" s="744"/>
    </row>
    <row r="1128" spans="4:16" s="13" customFormat="1" ht="20.25" customHeight="1">
      <c r="D1128" s="667"/>
      <c r="E1128" s="667"/>
      <c r="G1128" s="743"/>
      <c r="H1128" s="743"/>
      <c r="I1128" s="743"/>
      <c r="J1128" s="743"/>
      <c r="K1128" s="743"/>
      <c r="L1128" s="743"/>
      <c r="M1128" s="743"/>
      <c r="N1128" s="744"/>
      <c r="O1128" s="744"/>
      <c r="P1128" s="744"/>
    </row>
    <row r="1129" spans="4:16" s="13" customFormat="1" ht="20.25" customHeight="1">
      <c r="D1129" s="667"/>
      <c r="E1129" s="667"/>
      <c r="G1129" s="743"/>
      <c r="H1129" s="743"/>
      <c r="I1129" s="743"/>
      <c r="J1129" s="743"/>
      <c r="K1129" s="743"/>
      <c r="L1129" s="743"/>
      <c r="M1129" s="743"/>
      <c r="N1129" s="744"/>
      <c r="O1129" s="744"/>
      <c r="P1129" s="744"/>
    </row>
    <row r="1130" spans="4:16" s="13" customFormat="1" ht="20.25" customHeight="1">
      <c r="D1130" s="667"/>
      <c r="E1130" s="667"/>
      <c r="G1130" s="743"/>
      <c r="H1130" s="743"/>
      <c r="I1130" s="743"/>
      <c r="J1130" s="743"/>
      <c r="K1130" s="743"/>
      <c r="L1130" s="743"/>
      <c r="M1130" s="743"/>
      <c r="N1130" s="744"/>
      <c r="O1130" s="744"/>
      <c r="P1130" s="744"/>
    </row>
    <row r="1131" spans="4:16" s="13" customFormat="1" ht="20.25" customHeight="1">
      <c r="D1131" s="667"/>
      <c r="E1131" s="667"/>
      <c r="G1131" s="743"/>
      <c r="H1131" s="743"/>
      <c r="I1131" s="743"/>
      <c r="J1131" s="743"/>
      <c r="K1131" s="743"/>
      <c r="L1131" s="743"/>
      <c r="M1131" s="743"/>
      <c r="N1131" s="744"/>
      <c r="O1131" s="744"/>
      <c r="P1131" s="744"/>
    </row>
    <row r="1132" spans="4:16" s="13" customFormat="1" ht="20.25" customHeight="1">
      <c r="D1132" s="667"/>
      <c r="E1132" s="667"/>
      <c r="G1132" s="743"/>
      <c r="H1132" s="743"/>
      <c r="I1132" s="743"/>
      <c r="J1132" s="743"/>
      <c r="K1132" s="743"/>
      <c r="L1132" s="743"/>
      <c r="M1132" s="743"/>
      <c r="N1132" s="744"/>
      <c r="O1132" s="744"/>
      <c r="P1132" s="744"/>
    </row>
    <row r="1133" spans="4:16" s="13" customFormat="1" ht="20.25" customHeight="1">
      <c r="D1133" s="667"/>
      <c r="E1133" s="667"/>
      <c r="G1133" s="743"/>
      <c r="H1133" s="743"/>
      <c r="I1133" s="743"/>
      <c r="J1133" s="743"/>
      <c r="K1133" s="743"/>
      <c r="L1133" s="743"/>
      <c r="M1133" s="743"/>
      <c r="N1133" s="744"/>
      <c r="O1133" s="744"/>
      <c r="P1133" s="744"/>
    </row>
    <row r="1134" spans="4:16" s="13" customFormat="1" ht="20.25" customHeight="1">
      <c r="D1134" s="667"/>
      <c r="E1134" s="667"/>
      <c r="G1134" s="743"/>
      <c r="H1134" s="743"/>
      <c r="I1134" s="743"/>
      <c r="J1134" s="743"/>
      <c r="K1134" s="743"/>
      <c r="L1134" s="743"/>
      <c r="M1134" s="743"/>
      <c r="N1134" s="744"/>
      <c r="O1134" s="744"/>
      <c r="P1134" s="744"/>
    </row>
    <row r="1135" spans="4:16" s="13" customFormat="1" ht="20.25" customHeight="1">
      <c r="D1135" s="667"/>
      <c r="E1135" s="667"/>
      <c r="G1135" s="743"/>
      <c r="H1135" s="743"/>
      <c r="I1135" s="743"/>
      <c r="J1135" s="743"/>
      <c r="K1135" s="743"/>
      <c r="L1135" s="743"/>
      <c r="M1135" s="743"/>
      <c r="N1135" s="744"/>
      <c r="O1135" s="744"/>
      <c r="P1135" s="744"/>
    </row>
    <row r="1136" spans="4:16" s="13" customFormat="1" ht="20.25" customHeight="1">
      <c r="D1136" s="667"/>
      <c r="E1136" s="667"/>
      <c r="G1136" s="743"/>
      <c r="H1136" s="743"/>
      <c r="I1136" s="743"/>
      <c r="J1136" s="743"/>
      <c r="K1136" s="743"/>
      <c r="L1136" s="743"/>
      <c r="M1136" s="743"/>
      <c r="N1136" s="744"/>
      <c r="O1136" s="744"/>
      <c r="P1136" s="744"/>
    </row>
    <row r="1137" spans="4:16" s="13" customFormat="1" ht="20.25" customHeight="1">
      <c r="D1137" s="667"/>
      <c r="E1137" s="667"/>
      <c r="G1137" s="743"/>
      <c r="H1137" s="743"/>
      <c r="I1137" s="743"/>
      <c r="J1137" s="743"/>
      <c r="K1137" s="743"/>
      <c r="L1137" s="743"/>
      <c r="M1137" s="743"/>
      <c r="N1137" s="744"/>
      <c r="O1137" s="744"/>
      <c r="P1137" s="744"/>
    </row>
    <row r="1138" spans="4:16" s="13" customFormat="1" ht="20.25" customHeight="1">
      <c r="D1138" s="667"/>
      <c r="E1138" s="667"/>
      <c r="G1138" s="743"/>
      <c r="H1138" s="743"/>
      <c r="I1138" s="743"/>
      <c r="J1138" s="743"/>
      <c r="K1138" s="743"/>
      <c r="L1138" s="743"/>
      <c r="M1138" s="743"/>
      <c r="N1138" s="744"/>
      <c r="O1138" s="744"/>
      <c r="P1138" s="744"/>
    </row>
    <row r="1139" spans="4:16" s="13" customFormat="1" ht="20.25" customHeight="1">
      <c r="D1139" s="667"/>
      <c r="E1139" s="667"/>
      <c r="G1139" s="743"/>
      <c r="H1139" s="743"/>
      <c r="I1139" s="743"/>
      <c r="J1139" s="743"/>
      <c r="K1139" s="743"/>
      <c r="L1139" s="743"/>
      <c r="M1139" s="743"/>
      <c r="N1139" s="744"/>
      <c r="O1139" s="744"/>
      <c r="P1139" s="744"/>
    </row>
    <row r="1140" spans="4:16" s="13" customFormat="1" ht="20.25" customHeight="1">
      <c r="D1140" s="667"/>
      <c r="E1140" s="667"/>
      <c r="G1140" s="743"/>
      <c r="H1140" s="743"/>
      <c r="I1140" s="743"/>
      <c r="J1140" s="743"/>
      <c r="K1140" s="743"/>
      <c r="L1140" s="743"/>
      <c r="M1140" s="743"/>
      <c r="N1140" s="744"/>
      <c r="O1140" s="744"/>
      <c r="P1140" s="744"/>
    </row>
    <row r="1141" spans="4:16" s="13" customFormat="1" ht="20.25" customHeight="1">
      <c r="D1141" s="667"/>
      <c r="E1141" s="667"/>
      <c r="G1141" s="743"/>
      <c r="H1141" s="743"/>
      <c r="I1141" s="743"/>
      <c r="J1141" s="743"/>
      <c r="K1141" s="743"/>
      <c r="L1141" s="743"/>
      <c r="M1141" s="743"/>
      <c r="N1141" s="744"/>
      <c r="O1141" s="744"/>
      <c r="P1141" s="744"/>
    </row>
    <row r="1142" spans="4:16" s="13" customFormat="1" ht="20.25" customHeight="1">
      <c r="D1142" s="667"/>
      <c r="E1142" s="667"/>
      <c r="G1142" s="743"/>
      <c r="H1142" s="743"/>
      <c r="I1142" s="743"/>
      <c r="J1142" s="743"/>
      <c r="K1142" s="743"/>
      <c r="L1142" s="743"/>
      <c r="M1142" s="743"/>
      <c r="N1142" s="744"/>
      <c r="O1142" s="744"/>
      <c r="P1142" s="744"/>
    </row>
    <row r="1143" spans="4:16" s="13" customFormat="1" ht="20.25" customHeight="1">
      <c r="D1143" s="667"/>
      <c r="E1143" s="667"/>
      <c r="G1143" s="743"/>
      <c r="H1143" s="743"/>
      <c r="I1143" s="743"/>
      <c r="J1143" s="743"/>
      <c r="K1143" s="743"/>
      <c r="L1143" s="743"/>
      <c r="M1143" s="743"/>
      <c r="N1143" s="744"/>
      <c r="O1143" s="744"/>
      <c r="P1143" s="744"/>
    </row>
    <row r="1144" spans="4:16" s="13" customFormat="1" ht="20.25" customHeight="1">
      <c r="D1144" s="667"/>
      <c r="E1144" s="667"/>
      <c r="G1144" s="743"/>
      <c r="H1144" s="743"/>
      <c r="I1144" s="743"/>
      <c r="J1144" s="743"/>
      <c r="K1144" s="743"/>
      <c r="L1144" s="743"/>
      <c r="M1144" s="743"/>
      <c r="N1144" s="744"/>
      <c r="O1144" s="744"/>
      <c r="P1144" s="744"/>
    </row>
    <row r="1145" spans="4:16" s="13" customFormat="1" ht="20.25" customHeight="1">
      <c r="D1145" s="667"/>
      <c r="E1145" s="667"/>
      <c r="G1145" s="743"/>
      <c r="H1145" s="743"/>
      <c r="I1145" s="743"/>
      <c r="J1145" s="743"/>
      <c r="K1145" s="743"/>
      <c r="L1145" s="743"/>
      <c r="M1145" s="743"/>
      <c r="N1145" s="744"/>
      <c r="O1145" s="744"/>
      <c r="P1145" s="744"/>
    </row>
    <row r="1146" spans="4:16" s="13" customFormat="1" ht="20.25" customHeight="1">
      <c r="D1146" s="667"/>
      <c r="E1146" s="667"/>
      <c r="G1146" s="743"/>
      <c r="H1146" s="743"/>
      <c r="I1146" s="743"/>
      <c r="J1146" s="743"/>
      <c r="K1146" s="743"/>
      <c r="L1146" s="743"/>
      <c r="M1146" s="743"/>
      <c r="N1146" s="744"/>
      <c r="O1146" s="744"/>
      <c r="P1146" s="744"/>
    </row>
    <row r="1147" spans="4:16" s="13" customFormat="1" ht="20.25" customHeight="1">
      <c r="D1147" s="667"/>
      <c r="E1147" s="667"/>
      <c r="G1147" s="743"/>
      <c r="H1147" s="743"/>
      <c r="I1147" s="743"/>
      <c r="J1147" s="743"/>
      <c r="K1147" s="743"/>
      <c r="L1147" s="743"/>
      <c r="M1147" s="743"/>
      <c r="N1147" s="744"/>
      <c r="O1147" s="744"/>
      <c r="P1147" s="744"/>
    </row>
    <row r="1148" spans="4:16" s="13" customFormat="1" ht="20.25" customHeight="1">
      <c r="D1148" s="667"/>
      <c r="E1148" s="667"/>
      <c r="G1148" s="743"/>
      <c r="H1148" s="743"/>
      <c r="I1148" s="743"/>
      <c r="J1148" s="743"/>
      <c r="K1148" s="743"/>
      <c r="L1148" s="743"/>
      <c r="M1148" s="743"/>
      <c r="N1148" s="744"/>
      <c r="O1148" s="744"/>
      <c r="P1148" s="744"/>
    </row>
    <row r="1149" spans="4:16" s="13" customFormat="1" ht="20.25" customHeight="1">
      <c r="D1149" s="667"/>
      <c r="E1149" s="667"/>
      <c r="G1149" s="743"/>
      <c r="H1149" s="743"/>
      <c r="I1149" s="743"/>
      <c r="J1149" s="743"/>
      <c r="K1149" s="743"/>
      <c r="L1149" s="743"/>
      <c r="M1149" s="743"/>
      <c r="N1149" s="744"/>
      <c r="O1149" s="744"/>
      <c r="P1149" s="744"/>
    </row>
    <row r="1150" spans="4:16" s="13" customFormat="1" ht="20.25" customHeight="1">
      <c r="D1150" s="667"/>
      <c r="E1150" s="667"/>
      <c r="G1150" s="743"/>
      <c r="H1150" s="743"/>
      <c r="I1150" s="743"/>
      <c r="J1150" s="743"/>
      <c r="K1150" s="743"/>
      <c r="L1150" s="743"/>
      <c r="M1150" s="743"/>
      <c r="N1150" s="744"/>
      <c r="O1150" s="744"/>
      <c r="P1150" s="744"/>
    </row>
    <row r="1151" spans="4:16" s="13" customFormat="1" ht="20.25" customHeight="1">
      <c r="D1151" s="667"/>
      <c r="E1151" s="667"/>
      <c r="G1151" s="743"/>
      <c r="H1151" s="743"/>
      <c r="I1151" s="743"/>
      <c r="J1151" s="743"/>
      <c r="K1151" s="743"/>
      <c r="L1151" s="743"/>
      <c r="M1151" s="743"/>
      <c r="N1151" s="744"/>
      <c r="O1151" s="744"/>
      <c r="P1151" s="744"/>
    </row>
    <row r="1152" spans="4:16" s="13" customFormat="1" ht="20.25" customHeight="1">
      <c r="D1152" s="667"/>
      <c r="E1152" s="667"/>
      <c r="G1152" s="743"/>
      <c r="H1152" s="743"/>
      <c r="I1152" s="743"/>
      <c r="J1152" s="743"/>
      <c r="K1152" s="743"/>
      <c r="L1152" s="743"/>
      <c r="M1152" s="743"/>
      <c r="N1152" s="744"/>
      <c r="O1152" s="744"/>
      <c r="P1152" s="744"/>
    </row>
    <row r="1153" spans="4:16" s="13" customFormat="1" ht="20.25" customHeight="1">
      <c r="D1153" s="667"/>
      <c r="E1153" s="667"/>
      <c r="G1153" s="743"/>
      <c r="H1153" s="743"/>
      <c r="I1153" s="743"/>
      <c r="J1153" s="743"/>
      <c r="K1153" s="743"/>
      <c r="L1153" s="743"/>
      <c r="M1153" s="743"/>
      <c r="N1153" s="744"/>
      <c r="O1153" s="744"/>
      <c r="P1153" s="744"/>
    </row>
    <row r="1154" spans="4:16" s="13" customFormat="1" ht="20.25" customHeight="1">
      <c r="D1154" s="667"/>
      <c r="E1154" s="667"/>
      <c r="G1154" s="743"/>
      <c r="H1154" s="743"/>
      <c r="I1154" s="743"/>
      <c r="J1154" s="743"/>
      <c r="K1154" s="743"/>
      <c r="L1154" s="743"/>
      <c r="M1154" s="743"/>
      <c r="N1154" s="744"/>
      <c r="O1154" s="744"/>
      <c r="P1154" s="744"/>
    </row>
    <row r="1155" spans="4:16" s="13" customFormat="1" ht="20.25" customHeight="1">
      <c r="D1155" s="667"/>
      <c r="E1155" s="667"/>
      <c r="G1155" s="743"/>
      <c r="H1155" s="743"/>
      <c r="I1155" s="743"/>
      <c r="J1155" s="743"/>
      <c r="K1155" s="743"/>
      <c r="L1155" s="743"/>
      <c r="M1155" s="743"/>
      <c r="N1155" s="744"/>
      <c r="O1155" s="744"/>
      <c r="P1155" s="744"/>
    </row>
    <row r="1156" spans="4:16" s="13" customFormat="1" ht="20.25" customHeight="1">
      <c r="D1156" s="667"/>
      <c r="E1156" s="667"/>
      <c r="G1156" s="743"/>
      <c r="H1156" s="743"/>
      <c r="I1156" s="743"/>
      <c r="J1156" s="743"/>
      <c r="K1156" s="743"/>
      <c r="L1156" s="743"/>
      <c r="M1156" s="743"/>
      <c r="N1156" s="744"/>
      <c r="O1156" s="744"/>
      <c r="P1156" s="744"/>
    </row>
    <row r="1157" spans="4:16" s="13" customFormat="1" ht="20.25" customHeight="1">
      <c r="D1157" s="667"/>
      <c r="E1157" s="667"/>
      <c r="G1157" s="743"/>
      <c r="H1157" s="743"/>
      <c r="I1157" s="743"/>
      <c r="J1157" s="743"/>
      <c r="K1157" s="743"/>
      <c r="L1157" s="743"/>
      <c r="M1157" s="743"/>
      <c r="N1157" s="744"/>
      <c r="O1157" s="744"/>
      <c r="P1157" s="744"/>
    </row>
    <row r="1158" spans="4:16" s="13" customFormat="1" ht="20.25" customHeight="1">
      <c r="D1158" s="667"/>
      <c r="E1158" s="667"/>
      <c r="G1158" s="743"/>
      <c r="H1158" s="743"/>
      <c r="I1158" s="743"/>
      <c r="J1158" s="743"/>
      <c r="K1158" s="743"/>
      <c r="L1158" s="743"/>
      <c r="M1158" s="743"/>
      <c r="N1158" s="744"/>
      <c r="O1158" s="744"/>
      <c r="P1158" s="744"/>
    </row>
    <row r="1159" spans="4:16" s="13" customFormat="1" ht="20.25" customHeight="1">
      <c r="D1159" s="667"/>
      <c r="E1159" s="667"/>
      <c r="G1159" s="743"/>
      <c r="H1159" s="743"/>
      <c r="I1159" s="743"/>
      <c r="J1159" s="743"/>
      <c r="K1159" s="743"/>
      <c r="L1159" s="743"/>
      <c r="M1159" s="743"/>
      <c r="N1159" s="744"/>
      <c r="O1159" s="744"/>
      <c r="P1159" s="744"/>
    </row>
    <row r="1160" spans="4:16" s="13" customFormat="1" ht="20.25" customHeight="1">
      <c r="D1160" s="667"/>
      <c r="E1160" s="667"/>
      <c r="G1160" s="743"/>
      <c r="H1160" s="743"/>
      <c r="I1160" s="743"/>
      <c r="J1160" s="743"/>
      <c r="K1160" s="743"/>
      <c r="L1160" s="743"/>
      <c r="M1160" s="743"/>
      <c r="N1160" s="744"/>
      <c r="O1160" s="744"/>
      <c r="P1160" s="744"/>
    </row>
    <row r="1161" spans="4:16" s="13" customFormat="1" ht="20.25" customHeight="1">
      <c r="D1161" s="667"/>
      <c r="E1161" s="667"/>
      <c r="G1161" s="743"/>
      <c r="H1161" s="743"/>
      <c r="I1161" s="743"/>
      <c r="J1161" s="743"/>
      <c r="K1161" s="743"/>
      <c r="L1161" s="743"/>
      <c r="M1161" s="743"/>
      <c r="N1161" s="744"/>
      <c r="O1161" s="744"/>
      <c r="P1161" s="744"/>
    </row>
    <row r="1162" spans="4:16" s="13" customFormat="1" ht="20.25" customHeight="1">
      <c r="D1162" s="667"/>
      <c r="E1162" s="667"/>
      <c r="G1162" s="743"/>
      <c r="H1162" s="743"/>
      <c r="I1162" s="743"/>
      <c r="J1162" s="743"/>
      <c r="K1162" s="743"/>
      <c r="L1162" s="743"/>
      <c r="M1162" s="743"/>
      <c r="N1162" s="744"/>
      <c r="O1162" s="744"/>
      <c r="P1162" s="744"/>
    </row>
    <row r="1163" spans="4:16" s="13" customFormat="1" ht="20.25" customHeight="1">
      <c r="D1163" s="667"/>
      <c r="E1163" s="667"/>
      <c r="G1163" s="743"/>
      <c r="H1163" s="743"/>
      <c r="I1163" s="743"/>
      <c r="J1163" s="743"/>
      <c r="K1163" s="743"/>
      <c r="L1163" s="743"/>
      <c r="M1163" s="743"/>
      <c r="N1163" s="744"/>
      <c r="O1163" s="744"/>
      <c r="P1163" s="744"/>
    </row>
    <row r="1164" spans="4:16" s="13" customFormat="1" ht="20.25" customHeight="1">
      <c r="D1164" s="667"/>
      <c r="E1164" s="667"/>
      <c r="G1164" s="743"/>
      <c r="H1164" s="743"/>
      <c r="I1164" s="743"/>
      <c r="J1164" s="743"/>
      <c r="K1164" s="743"/>
      <c r="L1164" s="743"/>
      <c r="M1164" s="743"/>
      <c r="N1164" s="744"/>
      <c r="O1164" s="744"/>
      <c r="P1164" s="744"/>
    </row>
    <row r="1165" spans="4:16" s="13" customFormat="1" ht="20.25" customHeight="1">
      <c r="D1165" s="667"/>
      <c r="E1165" s="667"/>
      <c r="G1165" s="743"/>
      <c r="H1165" s="743"/>
      <c r="I1165" s="743"/>
      <c r="J1165" s="743"/>
      <c r="K1165" s="743"/>
      <c r="L1165" s="743"/>
      <c r="M1165" s="743"/>
      <c r="N1165" s="744"/>
      <c r="O1165" s="744"/>
      <c r="P1165" s="744"/>
    </row>
    <row r="1166" spans="4:16" s="13" customFormat="1" ht="20.25" customHeight="1">
      <c r="D1166" s="667"/>
      <c r="E1166" s="667"/>
      <c r="G1166" s="743"/>
      <c r="H1166" s="743"/>
      <c r="I1166" s="743"/>
      <c r="J1166" s="743"/>
      <c r="K1166" s="743"/>
      <c r="L1166" s="743"/>
      <c r="M1166" s="743"/>
      <c r="N1166" s="744"/>
      <c r="O1166" s="744"/>
      <c r="P1166" s="744"/>
    </row>
    <row r="1167" spans="4:16" s="13" customFormat="1" ht="20.25" customHeight="1">
      <c r="D1167" s="667"/>
      <c r="E1167" s="667"/>
      <c r="G1167" s="743"/>
      <c r="H1167" s="743"/>
      <c r="I1167" s="743"/>
      <c r="J1167" s="743"/>
      <c r="K1167" s="743"/>
      <c r="L1167" s="743"/>
      <c r="M1167" s="743"/>
      <c r="N1167" s="744"/>
      <c r="O1167" s="744"/>
      <c r="P1167" s="744"/>
    </row>
    <row r="1168" spans="4:16" s="13" customFormat="1" ht="20.25" customHeight="1">
      <c r="D1168" s="667"/>
      <c r="E1168" s="667"/>
      <c r="G1168" s="743"/>
      <c r="H1168" s="743"/>
      <c r="I1168" s="743"/>
      <c r="J1168" s="743"/>
      <c r="K1168" s="743"/>
      <c r="L1168" s="743"/>
      <c r="M1168" s="743"/>
      <c r="N1168" s="744"/>
      <c r="O1168" s="744"/>
      <c r="P1168" s="744"/>
    </row>
    <row r="1169" spans="4:16" s="13" customFormat="1" ht="20.25" customHeight="1">
      <c r="D1169" s="667"/>
      <c r="E1169" s="667"/>
      <c r="G1169" s="743"/>
      <c r="H1169" s="743"/>
      <c r="I1169" s="743"/>
      <c r="J1169" s="743"/>
      <c r="K1169" s="743"/>
      <c r="L1169" s="743"/>
      <c r="M1169" s="743"/>
      <c r="N1169" s="744"/>
      <c r="O1169" s="744"/>
      <c r="P1169" s="744"/>
    </row>
    <row r="1170" spans="4:16" s="13" customFormat="1" ht="20.25" customHeight="1">
      <c r="D1170" s="667"/>
      <c r="E1170" s="667"/>
      <c r="G1170" s="743"/>
      <c r="H1170" s="743"/>
      <c r="I1170" s="743"/>
      <c r="J1170" s="743"/>
      <c r="K1170" s="743"/>
      <c r="L1170" s="743"/>
      <c r="M1170" s="743"/>
      <c r="N1170" s="744"/>
      <c r="O1170" s="744"/>
      <c r="P1170" s="744"/>
    </row>
    <row r="1171" spans="4:16" s="13" customFormat="1" ht="20.25" customHeight="1">
      <c r="D1171" s="667"/>
      <c r="E1171" s="667"/>
      <c r="G1171" s="743"/>
      <c r="H1171" s="743"/>
      <c r="I1171" s="743"/>
      <c r="J1171" s="743"/>
      <c r="K1171" s="743"/>
      <c r="L1171" s="743"/>
      <c r="M1171" s="743"/>
      <c r="N1171" s="744"/>
      <c r="O1171" s="744"/>
      <c r="P1171" s="744"/>
    </row>
    <row r="1172" spans="4:16" s="13" customFormat="1" ht="20.25" customHeight="1">
      <c r="D1172" s="667"/>
      <c r="E1172" s="667"/>
      <c r="G1172" s="743"/>
      <c r="H1172" s="743"/>
      <c r="I1172" s="743"/>
      <c r="J1172" s="743"/>
      <c r="K1172" s="743"/>
      <c r="L1172" s="743"/>
      <c r="M1172" s="743"/>
      <c r="N1172" s="744"/>
      <c r="O1172" s="744"/>
      <c r="P1172" s="744"/>
    </row>
    <row r="1173" spans="4:16" s="13" customFormat="1" ht="20.25" customHeight="1">
      <c r="D1173" s="667"/>
      <c r="E1173" s="667"/>
      <c r="G1173" s="743"/>
      <c r="H1173" s="743"/>
      <c r="I1173" s="743"/>
      <c r="J1173" s="743"/>
      <c r="K1173" s="743"/>
      <c r="L1173" s="743"/>
      <c r="M1173" s="743"/>
      <c r="N1173" s="744"/>
      <c r="O1173" s="744"/>
      <c r="P1173" s="744"/>
    </row>
    <row r="1174" spans="4:16" s="13" customFormat="1" ht="20.25" customHeight="1">
      <c r="D1174" s="667"/>
      <c r="E1174" s="667"/>
      <c r="G1174" s="743"/>
      <c r="H1174" s="743"/>
      <c r="I1174" s="743"/>
      <c r="J1174" s="743"/>
      <c r="K1174" s="743"/>
      <c r="L1174" s="743"/>
      <c r="M1174" s="743"/>
      <c r="N1174" s="744"/>
      <c r="O1174" s="744"/>
      <c r="P1174" s="744"/>
    </row>
    <row r="1175" spans="4:16" s="13" customFormat="1" ht="20.25" customHeight="1">
      <c r="D1175" s="667"/>
      <c r="E1175" s="667"/>
      <c r="G1175" s="743"/>
      <c r="H1175" s="743"/>
      <c r="I1175" s="743"/>
      <c r="J1175" s="743"/>
      <c r="K1175" s="743"/>
      <c r="L1175" s="743"/>
      <c r="M1175" s="743"/>
      <c r="N1175" s="744"/>
      <c r="O1175" s="744"/>
      <c r="P1175" s="744"/>
    </row>
    <row r="1176" spans="4:16" s="13" customFormat="1" ht="20.25" customHeight="1">
      <c r="D1176" s="667"/>
      <c r="E1176" s="667"/>
      <c r="G1176" s="743"/>
      <c r="H1176" s="743"/>
      <c r="I1176" s="743"/>
      <c r="J1176" s="743"/>
      <c r="K1176" s="743"/>
      <c r="L1176" s="743"/>
      <c r="M1176" s="743"/>
      <c r="N1176" s="744"/>
      <c r="O1176" s="744"/>
      <c r="P1176" s="744"/>
    </row>
    <row r="1177" spans="4:16" s="13" customFormat="1" ht="20.25" customHeight="1">
      <c r="D1177" s="667"/>
      <c r="E1177" s="667"/>
      <c r="G1177" s="743"/>
      <c r="H1177" s="743"/>
      <c r="I1177" s="743"/>
      <c r="J1177" s="743"/>
      <c r="K1177" s="743"/>
      <c r="L1177" s="743"/>
      <c r="M1177" s="743"/>
      <c r="N1177" s="744"/>
      <c r="O1177" s="744"/>
      <c r="P1177" s="744"/>
    </row>
    <row r="1178" spans="4:16" s="13" customFormat="1" ht="20.25" customHeight="1">
      <c r="D1178" s="667"/>
      <c r="E1178" s="667"/>
      <c r="G1178" s="743"/>
      <c r="H1178" s="743"/>
      <c r="I1178" s="743"/>
      <c r="J1178" s="743"/>
      <c r="K1178" s="743"/>
      <c r="L1178" s="743"/>
      <c r="M1178" s="743"/>
      <c r="N1178" s="744"/>
      <c r="O1178" s="744"/>
      <c r="P1178" s="744"/>
    </row>
    <row r="1179" spans="4:16" s="13" customFormat="1" ht="20.25" customHeight="1">
      <c r="D1179" s="667"/>
      <c r="E1179" s="667"/>
      <c r="G1179" s="743"/>
      <c r="H1179" s="743"/>
      <c r="I1179" s="743"/>
      <c r="J1179" s="743"/>
      <c r="K1179" s="743"/>
      <c r="L1179" s="743"/>
      <c r="M1179" s="743"/>
      <c r="N1179" s="744"/>
      <c r="O1179" s="744"/>
      <c r="P1179" s="744"/>
    </row>
    <row r="1180" spans="4:16" s="13" customFormat="1" ht="20.25" customHeight="1">
      <c r="D1180" s="667"/>
      <c r="E1180" s="667"/>
      <c r="G1180" s="743"/>
      <c r="H1180" s="743"/>
      <c r="I1180" s="743"/>
      <c r="J1180" s="743"/>
      <c r="K1180" s="743"/>
      <c r="L1180" s="743"/>
      <c r="M1180" s="743"/>
      <c r="N1180" s="744"/>
      <c r="O1180" s="744"/>
      <c r="P1180" s="744"/>
    </row>
    <row r="1181" spans="4:16" s="13" customFormat="1" ht="20.25" customHeight="1">
      <c r="D1181" s="667"/>
      <c r="E1181" s="667"/>
      <c r="G1181" s="743"/>
      <c r="H1181" s="743"/>
      <c r="I1181" s="743"/>
      <c r="J1181" s="743"/>
      <c r="K1181" s="743"/>
      <c r="L1181" s="743"/>
      <c r="M1181" s="743"/>
      <c r="N1181" s="744"/>
      <c r="O1181" s="744"/>
      <c r="P1181" s="744"/>
    </row>
    <row r="1182" spans="4:16" s="13" customFormat="1" ht="20.25" customHeight="1">
      <c r="D1182" s="667"/>
      <c r="E1182" s="667"/>
      <c r="G1182" s="743"/>
      <c r="H1182" s="743"/>
      <c r="I1182" s="743"/>
      <c r="J1182" s="743"/>
      <c r="K1182" s="743"/>
      <c r="L1182" s="743"/>
      <c r="M1182" s="743"/>
      <c r="N1182" s="744"/>
      <c r="O1182" s="744"/>
      <c r="P1182" s="744"/>
    </row>
    <row r="1183" spans="4:16" s="13" customFormat="1" ht="20.25" customHeight="1">
      <c r="D1183" s="667"/>
      <c r="E1183" s="667"/>
      <c r="G1183" s="743"/>
      <c r="H1183" s="743"/>
      <c r="I1183" s="743"/>
      <c r="J1183" s="743"/>
      <c r="K1183" s="743"/>
      <c r="L1183" s="743"/>
      <c r="M1183" s="743"/>
      <c r="N1183" s="744"/>
      <c r="O1183" s="744"/>
      <c r="P1183" s="744"/>
    </row>
    <row r="1184" spans="4:16" s="13" customFormat="1" ht="20.25" customHeight="1">
      <c r="D1184" s="667"/>
      <c r="E1184" s="667"/>
      <c r="G1184" s="743"/>
      <c r="H1184" s="743"/>
      <c r="I1184" s="743"/>
      <c r="J1184" s="743"/>
      <c r="K1184" s="743"/>
      <c r="L1184" s="743"/>
      <c r="M1184" s="743"/>
      <c r="N1184" s="744"/>
      <c r="O1184" s="744"/>
      <c r="P1184" s="744"/>
    </row>
    <row r="1185" spans="4:16" s="13" customFormat="1" ht="20.25" customHeight="1">
      <c r="D1185" s="667"/>
      <c r="E1185" s="667"/>
      <c r="G1185" s="743"/>
      <c r="H1185" s="743"/>
      <c r="I1185" s="743"/>
      <c r="J1185" s="743"/>
      <c r="K1185" s="743"/>
      <c r="L1185" s="743"/>
      <c r="M1185" s="743"/>
      <c r="N1185" s="744"/>
      <c r="O1185" s="744"/>
      <c r="P1185" s="744"/>
    </row>
    <row r="1186" spans="4:16" s="13" customFormat="1" ht="20.25" customHeight="1">
      <c r="D1186" s="667"/>
      <c r="E1186" s="667"/>
      <c r="G1186" s="743"/>
      <c r="H1186" s="743"/>
      <c r="I1186" s="743"/>
      <c r="J1186" s="743"/>
      <c r="K1186" s="743"/>
      <c r="L1186" s="743"/>
      <c r="M1186" s="743"/>
      <c r="N1186" s="744"/>
      <c r="O1186" s="744"/>
      <c r="P1186" s="744"/>
    </row>
    <row r="1187" spans="4:16" s="13" customFormat="1" ht="20.25" customHeight="1">
      <c r="D1187" s="667"/>
      <c r="E1187" s="667"/>
      <c r="G1187" s="743"/>
      <c r="H1187" s="743"/>
      <c r="I1187" s="743"/>
      <c r="J1187" s="743"/>
      <c r="K1187" s="743"/>
      <c r="L1187" s="743"/>
      <c r="M1187" s="743"/>
      <c r="N1187" s="744"/>
      <c r="O1187" s="744"/>
      <c r="P1187" s="744"/>
    </row>
    <row r="1188" spans="4:16" s="13" customFormat="1" ht="20.25" customHeight="1">
      <c r="D1188" s="667"/>
      <c r="E1188" s="667"/>
      <c r="G1188" s="743"/>
      <c r="H1188" s="743"/>
      <c r="I1188" s="743"/>
      <c r="J1188" s="743"/>
      <c r="K1188" s="743"/>
      <c r="L1188" s="743"/>
      <c r="M1188" s="743"/>
      <c r="N1188" s="744"/>
      <c r="O1188" s="744"/>
      <c r="P1188" s="744"/>
    </row>
    <row r="1189" spans="4:16" s="13" customFormat="1" ht="20.25" customHeight="1">
      <c r="D1189" s="667"/>
      <c r="E1189" s="667"/>
      <c r="G1189" s="743"/>
      <c r="H1189" s="743"/>
      <c r="I1189" s="743"/>
      <c r="J1189" s="743"/>
      <c r="K1189" s="743"/>
      <c r="L1189" s="743"/>
      <c r="M1189" s="743"/>
      <c r="N1189" s="744"/>
      <c r="O1189" s="744"/>
      <c r="P1189" s="744"/>
    </row>
    <row r="1190" spans="4:16" s="13" customFormat="1" ht="20.25" customHeight="1">
      <c r="D1190" s="667"/>
      <c r="E1190" s="667"/>
      <c r="G1190" s="743"/>
      <c r="H1190" s="743"/>
      <c r="I1190" s="743"/>
      <c r="J1190" s="743"/>
      <c r="K1190" s="743"/>
      <c r="L1190" s="743"/>
      <c r="M1190" s="743"/>
      <c r="N1190" s="744"/>
      <c r="O1190" s="744"/>
      <c r="P1190" s="744"/>
    </row>
    <row r="1191" spans="4:16" s="13" customFormat="1" ht="20.25" customHeight="1">
      <c r="D1191" s="667"/>
      <c r="E1191" s="667"/>
      <c r="G1191" s="743"/>
      <c r="H1191" s="743"/>
      <c r="I1191" s="743"/>
      <c r="J1191" s="743"/>
      <c r="K1191" s="743"/>
      <c r="L1191" s="743"/>
      <c r="M1191" s="743"/>
      <c r="N1191" s="744"/>
      <c r="O1191" s="744"/>
      <c r="P1191" s="744"/>
    </row>
    <row r="1192" spans="4:16" s="13" customFormat="1" ht="20.25" customHeight="1">
      <c r="D1192" s="667"/>
      <c r="E1192" s="667"/>
      <c r="G1192" s="743"/>
      <c r="H1192" s="743"/>
      <c r="I1192" s="743"/>
      <c r="J1192" s="743"/>
      <c r="K1192" s="743"/>
      <c r="L1192" s="743"/>
      <c r="M1192" s="743"/>
      <c r="N1192" s="744"/>
      <c r="O1192" s="744"/>
      <c r="P1192" s="744"/>
    </row>
    <row r="1193" spans="4:16" s="13" customFormat="1" ht="20.25" customHeight="1">
      <c r="D1193" s="667"/>
      <c r="E1193" s="667"/>
      <c r="G1193" s="743"/>
      <c r="H1193" s="743"/>
      <c r="I1193" s="743"/>
      <c r="J1193" s="743"/>
      <c r="K1193" s="743"/>
      <c r="L1193" s="743"/>
      <c r="M1193" s="743"/>
      <c r="N1193" s="744"/>
      <c r="O1193" s="744"/>
      <c r="P1193" s="744"/>
    </row>
    <row r="1194" spans="4:16" s="13" customFormat="1" ht="20.25" customHeight="1">
      <c r="D1194" s="667"/>
      <c r="E1194" s="667"/>
      <c r="G1194" s="743"/>
      <c r="H1194" s="743"/>
      <c r="I1194" s="743"/>
      <c r="J1194" s="743"/>
      <c r="K1194" s="743"/>
      <c r="L1194" s="743"/>
      <c r="M1194" s="743"/>
      <c r="N1194" s="744"/>
      <c r="O1194" s="744"/>
      <c r="P1194" s="744"/>
    </row>
    <row r="1195" spans="4:16" s="13" customFormat="1" ht="20.25" customHeight="1">
      <c r="D1195" s="667"/>
      <c r="E1195" s="667"/>
      <c r="G1195" s="743"/>
      <c r="H1195" s="743"/>
      <c r="I1195" s="743"/>
      <c r="J1195" s="743"/>
      <c r="K1195" s="743"/>
      <c r="L1195" s="743"/>
      <c r="M1195" s="743"/>
      <c r="N1195" s="744"/>
      <c r="O1195" s="744"/>
      <c r="P1195" s="744"/>
    </row>
    <row r="1196" spans="4:16" s="13" customFormat="1" ht="20.25" customHeight="1">
      <c r="D1196" s="667"/>
      <c r="E1196" s="667"/>
      <c r="G1196" s="743"/>
      <c r="H1196" s="743"/>
      <c r="I1196" s="743"/>
      <c r="J1196" s="743"/>
      <c r="K1196" s="743"/>
      <c r="L1196" s="743"/>
      <c r="M1196" s="743"/>
      <c r="N1196" s="744"/>
      <c r="O1196" s="744"/>
      <c r="P1196" s="744"/>
    </row>
    <row r="1197" spans="4:16" s="13" customFormat="1" ht="20.25" customHeight="1">
      <c r="D1197" s="667"/>
      <c r="E1197" s="667"/>
      <c r="G1197" s="743"/>
      <c r="H1197" s="743"/>
      <c r="I1197" s="743"/>
      <c r="J1197" s="743"/>
      <c r="K1197" s="743"/>
      <c r="L1197" s="743"/>
      <c r="M1197" s="743"/>
      <c r="N1197" s="744"/>
      <c r="O1197" s="744"/>
      <c r="P1197" s="744"/>
    </row>
    <row r="1198" spans="4:16" s="13" customFormat="1" ht="20.25" customHeight="1">
      <c r="D1198" s="667"/>
      <c r="E1198" s="667"/>
      <c r="G1198" s="743"/>
      <c r="H1198" s="743"/>
      <c r="I1198" s="743"/>
      <c r="J1198" s="743"/>
      <c r="K1198" s="743"/>
      <c r="L1198" s="743"/>
      <c r="M1198" s="743"/>
      <c r="N1198" s="744"/>
      <c r="O1198" s="744"/>
      <c r="P1198" s="744"/>
    </row>
    <row r="1199" spans="4:16" s="13" customFormat="1" ht="20.25" customHeight="1">
      <c r="D1199" s="667"/>
      <c r="E1199" s="667"/>
      <c r="G1199" s="743"/>
      <c r="H1199" s="743"/>
      <c r="I1199" s="743"/>
      <c r="J1199" s="743"/>
      <c r="K1199" s="743"/>
      <c r="L1199" s="743"/>
      <c r="M1199" s="743"/>
      <c r="N1199" s="744"/>
      <c r="O1199" s="744"/>
      <c r="P1199" s="744"/>
    </row>
    <row r="1200" spans="4:16" s="13" customFormat="1" ht="20.25" customHeight="1">
      <c r="D1200" s="667"/>
      <c r="E1200" s="667"/>
      <c r="G1200" s="743"/>
      <c r="H1200" s="743"/>
      <c r="I1200" s="743"/>
      <c r="J1200" s="743"/>
      <c r="K1200" s="743"/>
      <c r="L1200" s="743"/>
      <c r="M1200" s="743"/>
      <c r="N1200" s="744"/>
      <c r="O1200" s="744"/>
      <c r="P1200" s="744"/>
    </row>
    <row r="1201" spans="4:16" s="13" customFormat="1" ht="20.25" customHeight="1">
      <c r="D1201" s="667"/>
      <c r="E1201" s="667"/>
      <c r="G1201" s="743"/>
      <c r="H1201" s="743"/>
      <c r="I1201" s="743"/>
      <c r="J1201" s="743"/>
      <c r="K1201" s="743"/>
      <c r="L1201" s="743"/>
      <c r="M1201" s="743"/>
      <c r="N1201" s="744"/>
      <c r="O1201" s="744"/>
      <c r="P1201" s="744"/>
    </row>
    <row r="1202" spans="4:16" s="13" customFormat="1" ht="20.25" customHeight="1">
      <c r="D1202" s="667"/>
      <c r="E1202" s="667"/>
      <c r="G1202" s="743"/>
      <c r="H1202" s="743"/>
      <c r="I1202" s="743"/>
      <c r="J1202" s="743"/>
      <c r="K1202" s="743"/>
      <c r="L1202" s="743"/>
      <c r="M1202" s="743"/>
      <c r="N1202" s="744"/>
      <c r="O1202" s="744"/>
      <c r="P1202" s="744"/>
    </row>
    <row r="1203" spans="4:16" s="13" customFormat="1" ht="20.25" customHeight="1">
      <c r="D1203" s="667"/>
      <c r="E1203" s="667"/>
      <c r="G1203" s="743"/>
      <c r="H1203" s="743"/>
      <c r="I1203" s="743"/>
      <c r="J1203" s="743"/>
      <c r="K1203" s="743"/>
      <c r="L1203" s="743"/>
      <c r="M1203" s="743"/>
      <c r="N1203" s="744"/>
      <c r="O1203" s="744"/>
      <c r="P1203" s="744"/>
    </row>
    <row r="1204" spans="4:16" s="13" customFormat="1" ht="20.25" customHeight="1">
      <c r="D1204" s="667"/>
      <c r="E1204" s="667"/>
      <c r="G1204" s="743"/>
      <c r="H1204" s="743"/>
      <c r="I1204" s="743"/>
      <c r="J1204" s="743"/>
      <c r="K1204" s="743"/>
      <c r="L1204" s="743"/>
      <c r="M1204" s="743"/>
      <c r="N1204" s="744"/>
      <c r="O1204" s="744"/>
      <c r="P1204" s="744"/>
    </row>
    <row r="1205" spans="4:16" s="13" customFormat="1" ht="20.25" customHeight="1">
      <c r="D1205" s="667"/>
      <c r="E1205" s="667"/>
      <c r="G1205" s="743"/>
      <c r="H1205" s="743"/>
      <c r="I1205" s="743"/>
      <c r="J1205" s="743"/>
      <c r="K1205" s="743"/>
      <c r="L1205" s="743"/>
      <c r="M1205" s="743"/>
      <c r="N1205" s="744"/>
      <c r="O1205" s="744"/>
      <c r="P1205" s="744"/>
    </row>
    <row r="1206" spans="4:16" s="13" customFormat="1" ht="20.25" customHeight="1">
      <c r="D1206" s="667"/>
      <c r="E1206" s="667"/>
      <c r="G1206" s="743"/>
      <c r="H1206" s="743"/>
      <c r="I1206" s="743"/>
      <c r="J1206" s="743"/>
      <c r="K1206" s="743"/>
      <c r="L1206" s="743"/>
      <c r="M1206" s="743"/>
      <c r="N1206" s="744"/>
      <c r="O1206" s="744"/>
      <c r="P1206" s="744"/>
    </row>
    <row r="1207" spans="4:16" s="13" customFormat="1" ht="20.25" customHeight="1">
      <c r="D1207" s="667"/>
      <c r="E1207" s="667"/>
      <c r="G1207" s="743"/>
      <c r="H1207" s="743"/>
      <c r="I1207" s="743"/>
      <c r="J1207" s="743"/>
      <c r="K1207" s="743"/>
      <c r="L1207" s="743"/>
      <c r="M1207" s="743"/>
      <c r="N1207" s="744"/>
      <c r="O1207" s="744"/>
      <c r="P1207" s="744"/>
    </row>
    <row r="1208" spans="4:16" s="13" customFormat="1" ht="20.25" customHeight="1">
      <c r="D1208" s="667"/>
      <c r="E1208" s="667"/>
      <c r="G1208" s="743"/>
      <c r="H1208" s="743"/>
      <c r="I1208" s="743"/>
      <c r="J1208" s="743"/>
      <c r="K1208" s="743"/>
      <c r="L1208" s="743"/>
      <c r="M1208" s="743"/>
      <c r="N1208" s="744"/>
      <c r="O1208" s="744"/>
      <c r="P1208" s="744"/>
    </row>
    <row r="1209" spans="4:16" s="13" customFormat="1" ht="20.25" customHeight="1">
      <c r="D1209" s="667"/>
      <c r="E1209" s="667"/>
      <c r="G1209" s="743"/>
      <c r="H1209" s="743"/>
      <c r="I1209" s="743"/>
      <c r="J1209" s="743"/>
      <c r="K1209" s="743"/>
      <c r="L1209" s="743"/>
      <c r="M1209" s="743"/>
      <c r="N1209" s="744"/>
      <c r="O1209" s="744"/>
      <c r="P1209" s="744"/>
    </row>
    <row r="1210" spans="4:16" s="13" customFormat="1" ht="20.25" customHeight="1">
      <c r="D1210" s="667"/>
      <c r="E1210" s="667"/>
      <c r="G1210" s="743"/>
      <c r="H1210" s="743"/>
      <c r="I1210" s="743"/>
      <c r="J1210" s="743"/>
      <c r="K1210" s="743"/>
      <c r="L1210" s="743"/>
      <c r="M1210" s="743"/>
      <c r="N1210" s="744"/>
      <c r="O1210" s="744"/>
      <c r="P1210" s="744"/>
    </row>
    <row r="1211" spans="4:16" s="13" customFormat="1" ht="20.25" customHeight="1">
      <c r="D1211" s="667"/>
      <c r="E1211" s="667"/>
      <c r="G1211" s="743"/>
      <c r="H1211" s="743"/>
      <c r="I1211" s="743"/>
      <c r="J1211" s="743"/>
      <c r="K1211" s="743"/>
      <c r="L1211" s="743"/>
      <c r="M1211" s="743"/>
      <c r="N1211" s="744"/>
      <c r="O1211" s="744"/>
      <c r="P1211" s="744"/>
    </row>
    <row r="1212" spans="4:16" s="13" customFormat="1" ht="20.25" customHeight="1">
      <c r="D1212" s="667"/>
      <c r="E1212" s="667"/>
      <c r="G1212" s="743"/>
      <c r="H1212" s="743"/>
      <c r="I1212" s="743"/>
      <c r="J1212" s="743"/>
      <c r="K1212" s="743"/>
      <c r="L1212" s="743"/>
      <c r="M1212" s="743"/>
      <c r="N1212" s="744"/>
      <c r="O1212" s="744"/>
      <c r="P1212" s="744"/>
    </row>
    <row r="1213" spans="4:16" s="13" customFormat="1" ht="20.25" customHeight="1">
      <c r="D1213" s="667"/>
      <c r="E1213" s="667"/>
      <c r="G1213" s="743"/>
      <c r="H1213" s="743"/>
      <c r="I1213" s="743"/>
      <c r="J1213" s="743"/>
      <c r="K1213" s="743"/>
      <c r="L1213" s="743"/>
      <c r="M1213" s="743"/>
      <c r="N1213" s="744"/>
      <c r="O1213" s="744"/>
      <c r="P1213" s="744"/>
    </row>
    <row r="1214" spans="4:16" s="13" customFormat="1" ht="20.25" customHeight="1">
      <c r="D1214" s="667"/>
      <c r="E1214" s="667"/>
      <c r="G1214" s="743"/>
      <c r="H1214" s="743"/>
      <c r="I1214" s="743"/>
      <c r="J1214" s="743"/>
      <c r="K1214" s="743"/>
      <c r="L1214" s="743"/>
      <c r="M1214" s="743"/>
      <c r="N1214" s="744"/>
      <c r="O1214" s="744"/>
      <c r="P1214" s="744"/>
    </row>
    <row r="1215" spans="4:16" s="13" customFormat="1" ht="20.25" customHeight="1">
      <c r="D1215" s="667"/>
      <c r="E1215" s="667"/>
      <c r="G1215" s="743"/>
      <c r="H1215" s="743"/>
      <c r="I1215" s="743"/>
      <c r="J1215" s="743"/>
      <c r="K1215" s="743"/>
      <c r="L1215" s="743"/>
      <c r="M1215" s="743"/>
      <c r="N1215" s="744"/>
      <c r="O1215" s="744"/>
      <c r="P1215" s="744"/>
    </row>
    <row r="1216" spans="4:16" s="13" customFormat="1" ht="20.25" customHeight="1">
      <c r="D1216" s="667"/>
      <c r="E1216" s="667"/>
      <c r="G1216" s="743"/>
      <c r="H1216" s="743"/>
      <c r="I1216" s="743"/>
      <c r="J1216" s="743"/>
      <c r="K1216" s="743"/>
      <c r="L1216" s="743"/>
      <c r="M1216" s="743"/>
      <c r="N1216" s="744"/>
      <c r="O1216" s="744"/>
      <c r="P1216" s="744"/>
    </row>
    <row r="1217" spans="4:16" s="13" customFormat="1" ht="20.25" customHeight="1">
      <c r="D1217" s="667"/>
      <c r="E1217" s="667"/>
      <c r="G1217" s="743"/>
      <c r="H1217" s="743"/>
      <c r="I1217" s="743"/>
      <c r="J1217" s="743"/>
      <c r="K1217" s="743"/>
      <c r="L1217" s="743"/>
      <c r="M1217" s="743"/>
      <c r="N1217" s="744"/>
      <c r="O1217" s="744"/>
      <c r="P1217" s="744"/>
    </row>
    <row r="1218" spans="4:16" s="13" customFormat="1" ht="20.25" customHeight="1">
      <c r="D1218" s="667"/>
      <c r="E1218" s="667"/>
      <c r="G1218" s="743"/>
      <c r="H1218" s="743"/>
      <c r="I1218" s="743"/>
      <c r="J1218" s="743"/>
      <c r="K1218" s="743"/>
      <c r="L1218" s="743"/>
      <c r="M1218" s="743"/>
      <c r="N1218" s="744"/>
      <c r="O1218" s="744"/>
      <c r="P1218" s="744"/>
    </row>
    <row r="1219" spans="4:16" s="13" customFormat="1" ht="20.25" customHeight="1">
      <c r="D1219" s="667"/>
      <c r="E1219" s="667"/>
      <c r="G1219" s="743"/>
      <c r="H1219" s="743"/>
      <c r="I1219" s="743"/>
      <c r="J1219" s="743"/>
      <c r="K1219" s="743"/>
      <c r="L1219" s="743"/>
      <c r="M1219" s="743"/>
      <c r="N1219" s="744"/>
      <c r="O1219" s="744"/>
      <c r="P1219" s="744"/>
    </row>
    <row r="1220" spans="4:16" s="13" customFormat="1" ht="20.25" customHeight="1">
      <c r="D1220" s="667"/>
      <c r="E1220" s="667"/>
      <c r="G1220" s="743"/>
      <c r="H1220" s="743"/>
      <c r="I1220" s="743"/>
      <c r="J1220" s="743"/>
      <c r="K1220" s="743"/>
      <c r="L1220" s="743"/>
      <c r="M1220" s="743"/>
      <c r="N1220" s="744"/>
      <c r="O1220" s="744"/>
      <c r="P1220" s="744"/>
    </row>
    <row r="1221" spans="4:16" s="13" customFormat="1" ht="20.25" customHeight="1">
      <c r="D1221" s="667"/>
      <c r="E1221" s="667"/>
      <c r="G1221" s="743"/>
      <c r="H1221" s="743"/>
      <c r="I1221" s="743"/>
      <c r="J1221" s="743"/>
      <c r="K1221" s="743"/>
      <c r="L1221" s="743"/>
      <c r="M1221" s="743"/>
      <c r="N1221" s="744"/>
      <c r="O1221" s="744"/>
      <c r="P1221" s="744"/>
    </row>
    <row r="1222" spans="4:16" s="13" customFormat="1" ht="20.25" customHeight="1">
      <c r="D1222" s="667"/>
      <c r="E1222" s="667"/>
      <c r="G1222" s="743"/>
      <c r="H1222" s="743"/>
      <c r="I1222" s="743"/>
      <c r="J1222" s="743"/>
      <c r="K1222" s="743"/>
      <c r="L1222" s="743"/>
      <c r="M1222" s="743"/>
      <c r="N1222" s="744"/>
      <c r="O1222" s="744"/>
      <c r="P1222" s="744"/>
    </row>
    <row r="1223" spans="4:16" s="13" customFormat="1" ht="20.25" customHeight="1">
      <c r="D1223" s="667"/>
      <c r="E1223" s="667"/>
      <c r="G1223" s="743"/>
      <c r="H1223" s="743"/>
      <c r="I1223" s="743"/>
      <c r="J1223" s="743"/>
      <c r="K1223" s="743"/>
      <c r="L1223" s="743"/>
      <c r="M1223" s="743"/>
      <c r="N1223" s="744"/>
      <c r="O1223" s="744"/>
      <c r="P1223" s="744"/>
    </row>
    <row r="1224" spans="4:16" s="13" customFormat="1" ht="20.25" customHeight="1">
      <c r="D1224" s="667"/>
      <c r="E1224" s="667"/>
      <c r="G1224" s="743"/>
      <c r="H1224" s="743"/>
      <c r="I1224" s="743"/>
      <c r="J1224" s="743"/>
      <c r="K1224" s="743"/>
      <c r="L1224" s="743"/>
      <c r="M1224" s="743"/>
      <c r="N1224" s="744"/>
      <c r="O1224" s="744"/>
      <c r="P1224" s="744"/>
    </row>
    <row r="1225" spans="4:16" s="13" customFormat="1" ht="20.25" customHeight="1">
      <c r="D1225" s="667"/>
      <c r="E1225" s="667"/>
      <c r="G1225" s="743"/>
      <c r="H1225" s="743"/>
      <c r="I1225" s="743"/>
      <c r="J1225" s="743"/>
      <c r="K1225" s="743"/>
      <c r="L1225" s="743"/>
      <c r="M1225" s="743"/>
      <c r="N1225" s="744"/>
      <c r="O1225" s="744"/>
      <c r="P1225" s="744"/>
    </row>
    <row r="1226" spans="4:16" s="13" customFormat="1" ht="20.25" customHeight="1">
      <c r="D1226" s="667"/>
      <c r="E1226" s="667"/>
      <c r="G1226" s="743"/>
      <c r="H1226" s="743"/>
      <c r="I1226" s="743"/>
      <c r="J1226" s="743"/>
      <c r="K1226" s="743"/>
      <c r="L1226" s="743"/>
      <c r="M1226" s="743"/>
      <c r="N1226" s="744"/>
      <c r="O1226" s="744"/>
      <c r="P1226" s="744"/>
    </row>
    <row r="1227" spans="4:16" s="13" customFormat="1" ht="20.25" customHeight="1">
      <c r="D1227" s="667"/>
      <c r="E1227" s="667"/>
      <c r="G1227" s="743"/>
      <c r="H1227" s="743"/>
      <c r="I1227" s="743"/>
      <c r="J1227" s="743"/>
      <c r="K1227" s="743"/>
      <c r="L1227" s="743"/>
      <c r="M1227" s="743"/>
      <c r="N1227" s="744"/>
      <c r="O1227" s="744"/>
      <c r="P1227" s="744"/>
    </row>
    <row r="1228" spans="4:16" s="13" customFormat="1" ht="20.25" customHeight="1">
      <c r="D1228" s="667"/>
      <c r="E1228" s="667"/>
      <c r="G1228" s="743"/>
      <c r="H1228" s="743"/>
      <c r="I1228" s="743"/>
      <c r="J1228" s="743"/>
      <c r="K1228" s="743"/>
      <c r="L1228" s="743"/>
      <c r="M1228" s="743"/>
      <c r="N1228" s="744"/>
      <c r="O1228" s="744"/>
      <c r="P1228" s="744"/>
    </row>
    <row r="1229" spans="4:16" s="13" customFormat="1" ht="20.25" customHeight="1">
      <c r="D1229" s="667"/>
      <c r="E1229" s="667"/>
      <c r="G1229" s="743"/>
      <c r="H1229" s="743"/>
      <c r="I1229" s="743"/>
      <c r="J1229" s="743"/>
      <c r="K1229" s="743"/>
      <c r="L1229" s="743"/>
      <c r="M1229" s="743"/>
      <c r="N1229" s="744"/>
      <c r="O1229" s="744"/>
      <c r="P1229" s="744"/>
    </row>
    <row r="1230" spans="4:16" s="13" customFormat="1" ht="20.25" customHeight="1">
      <c r="D1230" s="667"/>
      <c r="E1230" s="667"/>
      <c r="G1230" s="743"/>
      <c r="H1230" s="743"/>
      <c r="I1230" s="743"/>
      <c r="J1230" s="743"/>
      <c r="K1230" s="743"/>
      <c r="L1230" s="743"/>
      <c r="M1230" s="743"/>
      <c r="N1230" s="744"/>
      <c r="O1230" s="744"/>
      <c r="P1230" s="744"/>
    </row>
    <row r="1231" spans="4:16" s="13" customFormat="1" ht="20.25" customHeight="1">
      <c r="D1231" s="667"/>
      <c r="E1231" s="667"/>
      <c r="G1231" s="743"/>
      <c r="H1231" s="743"/>
      <c r="I1231" s="743"/>
      <c r="J1231" s="743"/>
      <c r="K1231" s="743"/>
      <c r="L1231" s="743"/>
      <c r="M1231" s="743"/>
      <c r="N1231" s="744"/>
      <c r="O1231" s="744"/>
      <c r="P1231" s="744"/>
    </row>
    <row r="1232" spans="4:16" s="13" customFormat="1" ht="20.25" customHeight="1">
      <c r="D1232" s="667"/>
      <c r="E1232" s="667"/>
      <c r="G1232" s="743"/>
      <c r="H1232" s="743"/>
      <c r="I1232" s="743"/>
      <c r="J1232" s="743"/>
      <c r="K1232" s="743"/>
      <c r="L1232" s="743"/>
      <c r="M1232" s="743"/>
      <c r="N1232" s="744"/>
      <c r="O1232" s="744"/>
      <c r="P1232" s="744"/>
    </row>
    <row r="1233" spans="4:16" s="13" customFormat="1" ht="20.25" customHeight="1">
      <c r="D1233" s="667"/>
      <c r="E1233" s="667"/>
      <c r="G1233" s="743"/>
      <c r="H1233" s="743"/>
      <c r="I1233" s="743"/>
      <c r="J1233" s="743"/>
      <c r="K1233" s="743"/>
      <c r="L1233" s="743"/>
      <c r="M1233" s="743"/>
      <c r="N1233" s="744"/>
      <c r="O1233" s="744"/>
      <c r="P1233" s="744"/>
    </row>
    <row r="1234" spans="4:16" s="13" customFormat="1" ht="20.25" customHeight="1">
      <c r="D1234" s="667"/>
      <c r="E1234" s="667"/>
      <c r="G1234" s="743"/>
      <c r="H1234" s="743"/>
      <c r="I1234" s="743"/>
      <c r="J1234" s="743"/>
      <c r="K1234" s="743"/>
      <c r="L1234" s="743"/>
      <c r="M1234" s="743"/>
      <c r="N1234" s="744"/>
      <c r="O1234" s="744"/>
      <c r="P1234" s="744"/>
    </row>
    <row r="1235" spans="4:16" s="13" customFormat="1" ht="20.25" customHeight="1">
      <c r="D1235" s="667"/>
      <c r="E1235" s="667"/>
      <c r="G1235" s="743"/>
      <c r="H1235" s="743"/>
      <c r="I1235" s="743"/>
      <c r="J1235" s="743"/>
      <c r="K1235" s="743"/>
      <c r="L1235" s="743"/>
      <c r="M1235" s="743"/>
      <c r="N1235" s="744"/>
      <c r="O1235" s="744"/>
      <c r="P1235" s="744"/>
    </row>
    <row r="1236" spans="4:16" s="13" customFormat="1" ht="20.25" customHeight="1">
      <c r="D1236" s="667"/>
      <c r="E1236" s="667"/>
      <c r="G1236" s="743"/>
      <c r="H1236" s="743"/>
      <c r="I1236" s="743"/>
      <c r="J1236" s="743"/>
      <c r="K1236" s="743"/>
      <c r="L1236" s="743"/>
      <c r="M1236" s="743"/>
      <c r="N1236" s="744"/>
      <c r="O1236" s="744"/>
      <c r="P1236" s="744"/>
    </row>
    <row r="1237" spans="4:16" s="13" customFormat="1" ht="20.25" customHeight="1">
      <c r="D1237" s="667"/>
      <c r="E1237" s="667"/>
      <c r="G1237" s="743"/>
      <c r="H1237" s="743"/>
      <c r="I1237" s="743"/>
      <c r="J1237" s="743"/>
      <c r="K1237" s="743"/>
      <c r="L1237" s="743"/>
      <c r="M1237" s="743"/>
      <c r="N1237" s="744"/>
      <c r="O1237" s="744"/>
      <c r="P1237" s="744"/>
    </row>
    <row r="1238" spans="4:16" s="13" customFormat="1" ht="20.25" customHeight="1">
      <c r="D1238" s="667"/>
      <c r="E1238" s="667"/>
      <c r="G1238" s="743"/>
      <c r="H1238" s="743"/>
      <c r="I1238" s="743"/>
      <c r="J1238" s="743"/>
      <c r="K1238" s="743"/>
      <c r="L1238" s="743"/>
      <c r="M1238" s="743"/>
      <c r="N1238" s="744"/>
      <c r="O1238" s="744"/>
      <c r="P1238" s="744"/>
    </row>
    <row r="1239" spans="4:16" s="13" customFormat="1" ht="20.25" customHeight="1">
      <c r="D1239" s="667"/>
      <c r="E1239" s="667"/>
      <c r="G1239" s="743"/>
      <c r="H1239" s="743"/>
      <c r="I1239" s="743"/>
      <c r="J1239" s="743"/>
      <c r="K1239" s="743"/>
      <c r="L1239" s="743"/>
      <c r="M1239" s="743"/>
      <c r="N1239" s="744"/>
      <c r="O1239" s="744"/>
      <c r="P1239" s="744"/>
    </row>
    <row r="1240" spans="4:16" s="13" customFormat="1" ht="20.25" customHeight="1">
      <c r="D1240" s="667"/>
      <c r="E1240" s="667"/>
      <c r="G1240" s="743"/>
      <c r="H1240" s="743"/>
      <c r="I1240" s="743"/>
      <c r="J1240" s="743"/>
      <c r="K1240" s="743"/>
      <c r="L1240" s="743"/>
      <c r="M1240" s="743"/>
      <c r="N1240" s="744"/>
      <c r="O1240" s="744"/>
      <c r="P1240" s="744"/>
    </row>
    <row r="1241" spans="4:16" s="13" customFormat="1" ht="20.25" customHeight="1">
      <c r="D1241" s="667"/>
      <c r="E1241" s="667"/>
      <c r="G1241" s="743"/>
      <c r="H1241" s="743"/>
      <c r="I1241" s="743"/>
      <c r="J1241" s="743"/>
      <c r="K1241" s="743"/>
      <c r="L1241" s="743"/>
      <c r="M1241" s="743"/>
      <c r="N1241" s="744"/>
      <c r="O1241" s="744"/>
      <c r="P1241" s="744"/>
    </row>
    <row r="1242" spans="4:16" s="13" customFormat="1" ht="20.25" customHeight="1">
      <c r="D1242" s="667"/>
      <c r="E1242" s="667"/>
      <c r="G1242" s="743"/>
      <c r="H1242" s="743"/>
      <c r="I1242" s="743"/>
      <c r="J1242" s="743"/>
      <c r="K1242" s="743"/>
      <c r="L1242" s="743"/>
      <c r="M1242" s="743"/>
      <c r="N1242" s="744"/>
      <c r="O1242" s="744"/>
      <c r="P1242" s="744"/>
    </row>
    <row r="1243" spans="4:16" s="13" customFormat="1" ht="20.25" customHeight="1">
      <c r="D1243" s="667"/>
      <c r="E1243" s="667"/>
      <c r="G1243" s="743"/>
      <c r="H1243" s="743"/>
      <c r="I1243" s="743"/>
      <c r="J1243" s="743"/>
      <c r="K1243" s="743"/>
      <c r="L1243" s="743"/>
      <c r="M1243" s="743"/>
      <c r="N1243" s="744"/>
      <c r="O1243" s="744"/>
      <c r="P1243" s="744"/>
    </row>
    <row r="1244" spans="4:16" s="13" customFormat="1" ht="20.25" customHeight="1">
      <c r="D1244" s="667"/>
      <c r="E1244" s="667"/>
      <c r="G1244" s="743"/>
      <c r="H1244" s="743"/>
      <c r="I1244" s="743"/>
      <c r="J1244" s="743"/>
      <c r="K1244" s="743"/>
      <c r="L1244" s="743"/>
      <c r="M1244" s="743"/>
      <c r="N1244" s="744"/>
      <c r="O1244" s="744"/>
      <c r="P1244" s="744"/>
    </row>
    <row r="1245" spans="4:16" s="13" customFormat="1" ht="20.25" customHeight="1">
      <c r="D1245" s="667"/>
      <c r="E1245" s="667"/>
      <c r="G1245" s="743"/>
      <c r="H1245" s="743"/>
      <c r="I1245" s="743"/>
      <c r="J1245" s="743"/>
      <c r="K1245" s="743"/>
      <c r="L1245" s="743"/>
      <c r="M1245" s="743"/>
      <c r="N1245" s="744"/>
      <c r="O1245" s="744"/>
      <c r="P1245" s="744"/>
    </row>
    <row r="1246" spans="4:16" s="13" customFormat="1" ht="20.25" customHeight="1">
      <c r="D1246" s="667"/>
      <c r="E1246" s="667"/>
      <c r="G1246" s="743"/>
      <c r="H1246" s="743"/>
      <c r="I1246" s="743"/>
      <c r="J1246" s="743"/>
      <c r="K1246" s="743"/>
      <c r="L1246" s="743"/>
      <c r="M1246" s="743"/>
      <c r="N1246" s="744"/>
      <c r="O1246" s="744"/>
      <c r="P1246" s="744"/>
    </row>
    <row r="1247" spans="4:16" s="13" customFormat="1" ht="20.25" customHeight="1">
      <c r="D1247" s="667"/>
      <c r="E1247" s="667"/>
      <c r="G1247" s="743"/>
      <c r="H1247" s="743"/>
      <c r="I1247" s="743"/>
      <c r="J1247" s="743"/>
      <c r="K1247" s="743"/>
      <c r="L1247" s="743"/>
      <c r="M1247" s="743"/>
      <c r="N1247" s="744"/>
      <c r="O1247" s="744"/>
      <c r="P1247" s="744"/>
    </row>
    <row r="1248" spans="4:16" s="13" customFormat="1" ht="20.25" customHeight="1">
      <c r="D1248" s="667"/>
      <c r="E1248" s="667"/>
      <c r="G1248" s="743"/>
      <c r="H1248" s="743"/>
      <c r="I1248" s="743"/>
      <c r="J1248" s="743"/>
      <c r="K1248" s="743"/>
      <c r="L1248" s="743"/>
      <c r="M1248" s="743"/>
      <c r="N1248" s="744"/>
      <c r="O1248" s="744"/>
      <c r="P1248" s="744"/>
    </row>
    <row r="1249" spans="4:16" s="13" customFormat="1" ht="20.25" customHeight="1">
      <c r="D1249" s="667"/>
      <c r="E1249" s="667"/>
      <c r="G1249" s="743"/>
      <c r="H1249" s="743"/>
      <c r="I1249" s="743"/>
      <c r="J1249" s="743"/>
      <c r="K1249" s="743"/>
      <c r="L1249" s="743"/>
      <c r="M1249" s="743"/>
      <c r="N1249" s="744"/>
      <c r="O1249" s="744"/>
      <c r="P1249" s="744"/>
    </row>
    <row r="1250" spans="4:16" s="13" customFormat="1" ht="20.25" customHeight="1">
      <c r="D1250" s="667"/>
      <c r="E1250" s="667"/>
      <c r="G1250" s="743"/>
      <c r="H1250" s="743"/>
      <c r="I1250" s="743"/>
      <c r="J1250" s="743"/>
      <c r="K1250" s="743"/>
      <c r="L1250" s="743"/>
      <c r="M1250" s="743"/>
      <c r="N1250" s="744"/>
      <c r="O1250" s="744"/>
      <c r="P1250" s="744"/>
    </row>
    <row r="1251" spans="4:16" s="13" customFormat="1" ht="20.25" customHeight="1">
      <c r="D1251" s="667"/>
      <c r="E1251" s="667"/>
      <c r="G1251" s="743"/>
      <c r="H1251" s="743"/>
      <c r="I1251" s="743"/>
      <c r="J1251" s="743"/>
      <c r="K1251" s="743"/>
      <c r="L1251" s="743"/>
      <c r="M1251" s="743"/>
      <c r="N1251" s="744"/>
      <c r="O1251" s="744"/>
      <c r="P1251" s="744"/>
    </row>
    <row r="1252" spans="4:16" s="13" customFormat="1" ht="20.25" customHeight="1">
      <c r="D1252" s="667"/>
      <c r="E1252" s="667"/>
      <c r="G1252" s="743"/>
      <c r="H1252" s="743"/>
      <c r="I1252" s="743"/>
      <c r="J1252" s="743"/>
      <c r="K1252" s="743"/>
      <c r="L1252" s="743"/>
      <c r="M1252" s="743"/>
      <c r="N1252" s="744"/>
      <c r="O1252" s="744"/>
      <c r="P1252" s="744"/>
    </row>
    <row r="1253" spans="4:16" s="13" customFormat="1" ht="20.25" customHeight="1">
      <c r="D1253" s="667"/>
      <c r="E1253" s="667"/>
      <c r="G1253" s="743"/>
      <c r="H1253" s="743"/>
      <c r="I1253" s="743"/>
      <c r="J1253" s="743"/>
      <c r="K1253" s="743"/>
      <c r="L1253" s="743"/>
      <c r="M1253" s="743"/>
      <c r="N1253" s="744"/>
      <c r="O1253" s="744"/>
      <c r="P1253" s="744"/>
    </row>
    <row r="1254" spans="4:16" s="13" customFormat="1" ht="20.25" customHeight="1">
      <c r="D1254" s="667"/>
      <c r="E1254" s="667"/>
      <c r="G1254" s="743"/>
      <c r="H1254" s="743"/>
      <c r="I1254" s="743"/>
      <c r="J1254" s="743"/>
      <c r="K1254" s="743"/>
      <c r="L1254" s="743"/>
      <c r="M1254" s="743"/>
      <c r="N1254" s="744"/>
      <c r="O1254" s="744"/>
      <c r="P1254" s="744"/>
    </row>
    <row r="1255" spans="4:16" s="13" customFormat="1" ht="20.25" customHeight="1">
      <c r="D1255" s="667"/>
      <c r="E1255" s="667"/>
      <c r="G1255" s="743"/>
      <c r="H1255" s="743"/>
      <c r="I1255" s="743"/>
      <c r="J1255" s="743"/>
      <c r="K1255" s="743"/>
      <c r="L1255" s="743"/>
      <c r="M1255" s="743"/>
      <c r="N1255" s="744"/>
      <c r="O1255" s="744"/>
      <c r="P1255" s="744"/>
    </row>
    <row r="1256" spans="4:16" s="13" customFormat="1" ht="20.25" customHeight="1">
      <c r="D1256" s="667"/>
      <c r="E1256" s="667"/>
      <c r="G1256" s="743"/>
      <c r="H1256" s="743"/>
      <c r="I1256" s="743"/>
      <c r="J1256" s="743"/>
      <c r="K1256" s="743"/>
      <c r="L1256" s="743"/>
      <c r="M1256" s="743"/>
      <c r="N1256" s="744"/>
      <c r="O1256" s="744"/>
      <c r="P1256" s="744"/>
    </row>
    <row r="1257" spans="4:16" s="13" customFormat="1" ht="20.25" customHeight="1">
      <c r="D1257" s="667"/>
      <c r="E1257" s="667"/>
      <c r="G1257" s="743"/>
      <c r="H1257" s="743"/>
      <c r="I1257" s="743"/>
      <c r="J1257" s="743"/>
      <c r="K1257" s="743"/>
      <c r="L1257" s="743"/>
      <c r="M1257" s="743"/>
      <c r="N1257" s="744"/>
      <c r="O1257" s="744"/>
      <c r="P1257" s="744"/>
    </row>
    <row r="1258" spans="4:16" s="13" customFormat="1" ht="20.25" customHeight="1">
      <c r="D1258" s="667"/>
      <c r="E1258" s="667"/>
      <c r="G1258" s="743"/>
      <c r="H1258" s="743"/>
      <c r="I1258" s="743"/>
      <c r="J1258" s="743"/>
      <c r="K1258" s="743"/>
      <c r="L1258" s="743"/>
      <c r="M1258" s="743"/>
      <c r="N1258" s="744"/>
      <c r="O1258" s="744"/>
      <c r="P1258" s="744"/>
    </row>
    <row r="1259" spans="4:16" s="13" customFormat="1" ht="20.25" customHeight="1">
      <c r="D1259" s="667"/>
      <c r="E1259" s="667"/>
      <c r="G1259" s="743"/>
      <c r="H1259" s="743"/>
      <c r="I1259" s="743"/>
      <c r="J1259" s="743"/>
      <c r="K1259" s="743"/>
      <c r="L1259" s="743"/>
      <c r="M1259" s="743"/>
      <c r="N1259" s="744"/>
      <c r="O1259" s="744"/>
      <c r="P1259" s="744"/>
    </row>
    <row r="1260" spans="4:16" s="13" customFormat="1" ht="20.25" customHeight="1">
      <c r="D1260" s="667"/>
      <c r="E1260" s="667"/>
      <c r="G1260" s="743"/>
      <c r="H1260" s="743"/>
      <c r="I1260" s="743"/>
      <c r="J1260" s="743"/>
      <c r="K1260" s="743"/>
      <c r="L1260" s="743"/>
      <c r="M1260" s="743"/>
      <c r="N1260" s="744"/>
      <c r="O1260" s="744"/>
      <c r="P1260" s="744"/>
    </row>
    <row r="1261" spans="4:16" s="13" customFormat="1" ht="20.25" customHeight="1">
      <c r="D1261" s="667"/>
      <c r="E1261" s="667"/>
      <c r="G1261" s="743"/>
      <c r="H1261" s="743"/>
      <c r="I1261" s="743"/>
      <c r="J1261" s="743"/>
      <c r="K1261" s="743"/>
      <c r="L1261" s="743"/>
      <c r="M1261" s="743"/>
      <c r="N1261" s="744"/>
      <c r="O1261" s="744"/>
      <c r="P1261" s="744"/>
    </row>
    <row r="1262" spans="4:16" s="13" customFormat="1" ht="20.25" customHeight="1">
      <c r="D1262" s="667"/>
      <c r="E1262" s="667"/>
      <c r="G1262" s="743"/>
      <c r="H1262" s="743"/>
      <c r="I1262" s="743"/>
      <c r="J1262" s="743"/>
      <c r="K1262" s="743"/>
      <c r="L1262" s="743"/>
      <c r="M1262" s="743"/>
      <c r="N1262" s="744"/>
      <c r="O1262" s="744"/>
      <c r="P1262" s="744"/>
    </row>
    <row r="1263" spans="4:16" s="13" customFormat="1" ht="20.25" customHeight="1">
      <c r="D1263" s="667"/>
      <c r="E1263" s="667"/>
      <c r="G1263" s="743"/>
      <c r="H1263" s="743"/>
      <c r="I1263" s="743"/>
      <c r="J1263" s="743"/>
      <c r="K1263" s="743"/>
      <c r="L1263" s="743"/>
      <c r="M1263" s="743"/>
      <c r="N1263" s="744"/>
      <c r="O1263" s="744"/>
      <c r="P1263" s="744"/>
    </row>
    <row r="1264" spans="4:16" s="13" customFormat="1" ht="20.25" customHeight="1">
      <c r="D1264" s="667"/>
      <c r="E1264" s="667"/>
      <c r="G1264" s="743"/>
      <c r="H1264" s="743"/>
      <c r="I1264" s="743"/>
      <c r="J1264" s="743"/>
      <c r="K1264" s="743"/>
      <c r="L1264" s="743"/>
      <c r="M1264" s="743"/>
      <c r="N1264" s="744"/>
      <c r="O1264" s="744"/>
      <c r="P1264" s="744"/>
    </row>
    <row r="1265" spans="4:16" s="13" customFormat="1" ht="20.25" customHeight="1">
      <c r="D1265" s="667"/>
      <c r="E1265" s="667"/>
      <c r="G1265" s="743"/>
      <c r="H1265" s="743"/>
      <c r="I1265" s="743"/>
      <c r="J1265" s="743"/>
      <c r="K1265" s="743"/>
      <c r="L1265" s="743"/>
      <c r="M1265" s="743"/>
      <c r="N1265" s="744"/>
      <c r="O1265" s="744"/>
      <c r="P1265" s="744"/>
    </row>
    <row r="1266" spans="4:16" s="13" customFormat="1" ht="20.25" customHeight="1">
      <c r="D1266" s="667"/>
      <c r="E1266" s="667"/>
      <c r="G1266" s="743"/>
      <c r="H1266" s="743"/>
      <c r="I1266" s="743"/>
      <c r="J1266" s="743"/>
      <c r="K1266" s="743"/>
      <c r="L1266" s="743"/>
      <c r="M1266" s="743"/>
      <c r="N1266" s="744"/>
      <c r="O1266" s="744"/>
      <c r="P1266" s="744"/>
    </row>
    <row r="1267" spans="4:16" s="13" customFormat="1" ht="20.25" customHeight="1">
      <c r="D1267" s="667"/>
      <c r="E1267" s="667"/>
      <c r="G1267" s="743"/>
      <c r="H1267" s="743"/>
      <c r="I1267" s="743"/>
      <c r="J1267" s="743"/>
      <c r="K1267" s="743"/>
      <c r="L1267" s="743"/>
      <c r="M1267" s="743"/>
      <c r="N1267" s="744"/>
      <c r="O1267" s="744"/>
      <c r="P1267" s="744"/>
    </row>
    <row r="1268" spans="4:16" s="13" customFormat="1" ht="20.25" customHeight="1">
      <c r="D1268" s="667"/>
      <c r="E1268" s="667"/>
      <c r="G1268" s="743"/>
      <c r="H1268" s="743"/>
      <c r="I1268" s="743"/>
      <c r="J1268" s="743"/>
      <c r="K1268" s="743"/>
      <c r="L1268" s="743"/>
      <c r="M1268" s="743"/>
      <c r="N1268" s="744"/>
      <c r="O1268" s="744"/>
      <c r="P1268" s="744"/>
    </row>
    <row r="1269" spans="4:16" s="13" customFormat="1" ht="20.25" customHeight="1">
      <c r="D1269" s="667"/>
      <c r="E1269" s="667"/>
      <c r="G1269" s="743"/>
      <c r="H1269" s="743"/>
      <c r="I1269" s="743"/>
      <c r="J1269" s="743"/>
      <c r="K1269" s="743"/>
      <c r="L1269" s="743"/>
      <c r="M1269" s="743"/>
      <c r="N1269" s="744"/>
      <c r="O1269" s="744"/>
      <c r="P1269" s="744"/>
    </row>
    <row r="1270" spans="4:16" s="13" customFormat="1" ht="20.25" customHeight="1">
      <c r="D1270" s="667"/>
      <c r="E1270" s="667"/>
      <c r="G1270" s="743"/>
      <c r="H1270" s="743"/>
      <c r="I1270" s="743"/>
      <c r="J1270" s="743"/>
      <c r="K1270" s="743"/>
      <c r="L1270" s="743"/>
      <c r="M1270" s="743"/>
      <c r="N1270" s="744"/>
      <c r="O1270" s="744"/>
      <c r="P1270" s="744"/>
    </row>
    <row r="1271" spans="4:16" s="13" customFormat="1" ht="20.25" customHeight="1">
      <c r="D1271" s="667"/>
      <c r="E1271" s="667"/>
      <c r="G1271" s="743"/>
      <c r="H1271" s="743"/>
      <c r="I1271" s="743"/>
      <c r="J1271" s="743"/>
      <c r="K1271" s="743"/>
      <c r="L1271" s="743"/>
      <c r="M1271" s="743"/>
      <c r="N1271" s="744"/>
      <c r="O1271" s="744"/>
      <c r="P1271" s="744"/>
    </row>
    <row r="1272" spans="4:16" s="13" customFormat="1" ht="20.25" customHeight="1">
      <c r="D1272" s="667"/>
      <c r="E1272" s="667"/>
      <c r="G1272" s="743"/>
      <c r="H1272" s="743"/>
      <c r="I1272" s="743"/>
      <c r="J1272" s="743"/>
      <c r="K1272" s="743"/>
      <c r="L1272" s="743"/>
      <c r="M1272" s="743"/>
      <c r="N1272" s="744"/>
      <c r="O1272" s="744"/>
      <c r="P1272" s="744"/>
    </row>
    <row r="1273" spans="4:16" s="13" customFormat="1" ht="20.25" customHeight="1">
      <c r="D1273" s="667"/>
      <c r="E1273" s="667"/>
      <c r="G1273" s="743"/>
      <c r="H1273" s="743"/>
      <c r="I1273" s="743"/>
      <c r="J1273" s="743"/>
      <c r="K1273" s="743"/>
      <c r="L1273" s="743"/>
      <c r="M1273" s="743"/>
      <c r="N1273" s="744"/>
      <c r="O1273" s="744"/>
      <c r="P1273" s="744"/>
    </row>
    <row r="1274" spans="4:16" s="13" customFormat="1" ht="20.25" customHeight="1">
      <c r="D1274" s="667"/>
      <c r="E1274" s="667"/>
      <c r="G1274" s="743"/>
      <c r="H1274" s="743"/>
      <c r="I1274" s="743"/>
      <c r="J1274" s="743"/>
      <c r="K1274" s="743"/>
      <c r="L1274" s="743"/>
      <c r="M1274" s="743"/>
      <c r="N1274" s="744"/>
      <c r="O1274" s="744"/>
      <c r="P1274" s="744"/>
    </row>
    <row r="1275" spans="4:16" s="13" customFormat="1" ht="20.25" customHeight="1">
      <c r="D1275" s="667"/>
      <c r="E1275" s="667"/>
      <c r="G1275" s="743"/>
      <c r="H1275" s="743"/>
      <c r="I1275" s="743"/>
      <c r="J1275" s="743"/>
      <c r="K1275" s="743"/>
      <c r="L1275" s="743"/>
      <c r="M1275" s="743"/>
      <c r="N1275" s="744"/>
      <c r="O1275" s="744"/>
      <c r="P1275" s="744"/>
    </row>
    <row r="1276" spans="4:16" s="13" customFormat="1" ht="20.25" customHeight="1">
      <c r="D1276" s="667"/>
      <c r="E1276" s="667"/>
      <c r="G1276" s="743"/>
      <c r="H1276" s="743"/>
      <c r="I1276" s="743"/>
      <c r="J1276" s="743"/>
      <c r="K1276" s="743"/>
      <c r="L1276" s="743"/>
      <c r="M1276" s="743"/>
      <c r="N1276" s="744"/>
      <c r="O1276" s="744"/>
      <c r="P1276" s="744"/>
    </row>
    <row r="1277" spans="4:16" s="13" customFormat="1" ht="20.25" customHeight="1">
      <c r="D1277" s="667"/>
      <c r="E1277" s="667"/>
      <c r="G1277" s="743"/>
      <c r="H1277" s="743"/>
      <c r="I1277" s="743"/>
      <c r="J1277" s="743"/>
      <c r="K1277" s="743"/>
      <c r="L1277" s="743"/>
      <c r="M1277" s="743"/>
      <c r="N1277" s="744"/>
      <c r="O1277" s="744"/>
      <c r="P1277" s="744"/>
    </row>
    <row r="1278" spans="4:16" s="13" customFormat="1" ht="20.25" customHeight="1">
      <c r="D1278" s="667"/>
      <c r="E1278" s="667"/>
      <c r="G1278" s="743"/>
      <c r="H1278" s="743"/>
      <c r="I1278" s="743"/>
      <c r="J1278" s="743"/>
      <c r="K1278" s="743"/>
      <c r="L1278" s="743"/>
      <c r="M1278" s="743"/>
      <c r="N1278" s="744"/>
      <c r="O1278" s="744"/>
      <c r="P1278" s="744"/>
    </row>
    <row r="1279" spans="4:16" s="13" customFormat="1" ht="20.25" customHeight="1">
      <c r="D1279" s="667"/>
      <c r="E1279" s="667"/>
      <c r="G1279" s="743"/>
      <c r="H1279" s="743"/>
      <c r="I1279" s="743"/>
      <c r="J1279" s="743"/>
      <c r="K1279" s="743"/>
      <c r="L1279" s="743"/>
      <c r="M1279" s="743"/>
      <c r="N1279" s="744"/>
      <c r="O1279" s="744"/>
      <c r="P1279" s="744"/>
    </row>
    <row r="1280" spans="4:16" s="13" customFormat="1" ht="20.25" customHeight="1">
      <c r="D1280" s="667"/>
      <c r="E1280" s="667"/>
      <c r="G1280" s="743"/>
      <c r="H1280" s="743"/>
      <c r="I1280" s="743"/>
      <c r="J1280" s="743"/>
      <c r="K1280" s="743"/>
      <c r="L1280" s="743"/>
      <c r="M1280" s="743"/>
      <c r="N1280" s="744"/>
      <c r="O1280" s="744"/>
      <c r="P1280" s="744"/>
    </row>
    <row r="1281" spans="4:16" s="13" customFormat="1" ht="20.25" customHeight="1">
      <c r="D1281" s="667"/>
      <c r="E1281" s="667"/>
      <c r="G1281" s="743"/>
      <c r="H1281" s="743"/>
      <c r="I1281" s="743"/>
      <c r="J1281" s="743"/>
      <c r="K1281" s="743"/>
      <c r="L1281" s="743"/>
      <c r="M1281" s="743"/>
      <c r="N1281" s="744"/>
      <c r="O1281" s="744"/>
      <c r="P1281" s="744"/>
    </row>
    <row r="1282" spans="4:16" s="13" customFormat="1" ht="20.25" customHeight="1">
      <c r="D1282" s="667"/>
      <c r="E1282" s="667"/>
      <c r="G1282" s="743"/>
      <c r="H1282" s="743"/>
      <c r="I1282" s="743"/>
      <c r="J1282" s="743"/>
      <c r="K1282" s="743"/>
      <c r="L1282" s="743"/>
      <c r="M1282" s="743"/>
      <c r="N1282" s="744"/>
      <c r="O1282" s="744"/>
      <c r="P1282" s="744"/>
    </row>
    <row r="1283" spans="4:16" s="13" customFormat="1" ht="20.25" customHeight="1">
      <c r="D1283" s="667"/>
      <c r="E1283" s="667"/>
      <c r="G1283" s="743"/>
      <c r="H1283" s="743"/>
      <c r="I1283" s="743"/>
      <c r="J1283" s="743"/>
      <c r="K1283" s="743"/>
      <c r="L1283" s="743"/>
      <c r="M1283" s="743"/>
      <c r="N1283" s="744"/>
      <c r="O1283" s="744"/>
      <c r="P1283" s="744"/>
    </row>
    <row r="1284" spans="4:16" s="13" customFormat="1" ht="20.25" customHeight="1">
      <c r="D1284" s="667"/>
      <c r="E1284" s="667"/>
      <c r="G1284" s="743"/>
      <c r="H1284" s="743"/>
      <c r="I1284" s="743"/>
      <c r="J1284" s="743"/>
      <c r="K1284" s="743"/>
      <c r="L1284" s="743"/>
      <c r="M1284" s="743"/>
      <c r="N1284" s="744"/>
      <c r="O1284" s="744"/>
      <c r="P1284" s="744"/>
    </row>
    <row r="1285" spans="4:16" s="13" customFormat="1" ht="20.25" customHeight="1">
      <c r="D1285" s="667"/>
      <c r="E1285" s="667"/>
      <c r="G1285" s="743"/>
      <c r="H1285" s="743"/>
      <c r="I1285" s="743"/>
      <c r="J1285" s="743"/>
      <c r="K1285" s="743"/>
      <c r="L1285" s="743"/>
      <c r="M1285" s="743"/>
      <c r="N1285" s="744"/>
      <c r="O1285" s="744"/>
      <c r="P1285" s="744"/>
    </row>
    <row r="1286" spans="4:16" s="13" customFormat="1" ht="20.25" customHeight="1">
      <c r="D1286" s="667"/>
      <c r="E1286" s="667"/>
      <c r="G1286" s="743"/>
      <c r="H1286" s="743"/>
      <c r="I1286" s="743"/>
      <c r="J1286" s="743"/>
      <c r="K1286" s="743"/>
      <c r="L1286" s="743"/>
      <c r="M1286" s="743"/>
      <c r="N1286" s="744"/>
      <c r="O1286" s="744"/>
      <c r="P1286" s="744"/>
    </row>
    <row r="1287" spans="4:16" s="13" customFormat="1" ht="20.25" customHeight="1">
      <c r="D1287" s="667"/>
      <c r="E1287" s="667"/>
      <c r="G1287" s="743"/>
      <c r="H1287" s="743"/>
      <c r="I1287" s="743"/>
      <c r="J1287" s="743"/>
      <c r="K1287" s="743"/>
      <c r="L1287" s="743"/>
      <c r="M1287" s="743"/>
      <c r="N1287" s="744"/>
      <c r="O1287" s="744"/>
      <c r="P1287" s="744"/>
    </row>
    <row r="1288" spans="4:16" s="13" customFormat="1" ht="20.25" customHeight="1">
      <c r="D1288" s="667"/>
      <c r="E1288" s="667"/>
      <c r="G1288" s="743"/>
      <c r="H1288" s="743"/>
      <c r="I1288" s="743"/>
      <c r="J1288" s="743"/>
      <c r="K1288" s="743"/>
      <c r="L1288" s="743"/>
      <c r="M1288" s="743"/>
      <c r="N1288" s="744"/>
      <c r="O1288" s="744"/>
      <c r="P1288" s="744"/>
    </row>
    <row r="1289" spans="4:16" s="13" customFormat="1" ht="20.25" customHeight="1">
      <c r="D1289" s="667"/>
      <c r="E1289" s="667"/>
      <c r="G1289" s="743"/>
      <c r="H1289" s="743"/>
      <c r="I1289" s="743"/>
      <c r="J1289" s="743"/>
      <c r="K1289" s="743"/>
      <c r="L1289" s="743"/>
      <c r="M1289" s="743"/>
      <c r="N1289" s="744"/>
      <c r="O1289" s="744"/>
      <c r="P1289" s="744"/>
    </row>
    <row r="1290" spans="4:16" s="13" customFormat="1" ht="20.25" customHeight="1">
      <c r="D1290" s="667"/>
      <c r="E1290" s="667"/>
      <c r="G1290" s="743"/>
      <c r="H1290" s="743"/>
      <c r="I1290" s="743"/>
      <c r="J1290" s="743"/>
      <c r="K1290" s="743"/>
      <c r="L1290" s="743"/>
      <c r="M1290" s="743"/>
      <c r="N1290" s="744"/>
      <c r="O1290" s="744"/>
      <c r="P1290" s="744"/>
    </row>
    <row r="1291" spans="4:16" s="13" customFormat="1" ht="20.25" customHeight="1">
      <c r="D1291" s="667"/>
      <c r="E1291" s="667"/>
      <c r="G1291" s="743"/>
      <c r="H1291" s="743"/>
      <c r="I1291" s="743"/>
      <c r="J1291" s="743"/>
      <c r="K1291" s="743"/>
      <c r="L1291" s="743"/>
      <c r="M1291" s="743"/>
      <c r="N1291" s="744"/>
      <c r="O1291" s="744"/>
      <c r="P1291" s="744"/>
    </row>
    <row r="1292" spans="4:16" s="13" customFormat="1" ht="20.25" customHeight="1">
      <c r="D1292" s="667"/>
      <c r="E1292" s="667"/>
      <c r="G1292" s="743"/>
      <c r="H1292" s="743"/>
      <c r="I1292" s="743"/>
      <c r="J1292" s="743"/>
      <c r="K1292" s="743"/>
      <c r="L1292" s="743"/>
      <c r="M1292" s="743"/>
      <c r="N1292" s="744"/>
      <c r="O1292" s="744"/>
      <c r="P1292" s="744"/>
    </row>
    <row r="1293" spans="4:16" s="13" customFormat="1" ht="20.25" customHeight="1">
      <c r="D1293" s="667"/>
      <c r="E1293" s="667"/>
      <c r="G1293" s="743"/>
      <c r="H1293" s="743"/>
      <c r="I1293" s="743"/>
      <c r="J1293" s="743"/>
      <c r="K1293" s="743"/>
      <c r="L1293" s="743"/>
      <c r="M1293" s="743"/>
      <c r="N1293" s="744"/>
      <c r="O1293" s="744"/>
      <c r="P1293" s="744"/>
    </row>
    <row r="1294" spans="4:16" s="13" customFormat="1" ht="20.25" customHeight="1">
      <c r="D1294" s="667"/>
      <c r="E1294" s="667"/>
      <c r="G1294" s="743"/>
      <c r="H1294" s="743"/>
      <c r="I1294" s="743"/>
      <c r="J1294" s="743"/>
      <c r="K1294" s="743"/>
      <c r="L1294" s="743"/>
      <c r="M1294" s="743"/>
      <c r="N1294" s="744"/>
      <c r="O1294" s="744"/>
      <c r="P1294" s="744"/>
    </row>
    <row r="1295" spans="4:16" s="13" customFormat="1" ht="20.25" customHeight="1">
      <c r="D1295" s="667"/>
      <c r="E1295" s="667"/>
      <c r="G1295" s="743"/>
      <c r="H1295" s="743"/>
      <c r="I1295" s="743"/>
      <c r="J1295" s="743"/>
      <c r="K1295" s="743"/>
      <c r="L1295" s="743"/>
      <c r="M1295" s="743"/>
      <c r="N1295" s="744"/>
      <c r="O1295" s="744"/>
      <c r="P1295" s="744"/>
    </row>
    <row r="1296" spans="4:16" s="13" customFormat="1" ht="20.25" customHeight="1">
      <c r="D1296" s="667"/>
      <c r="E1296" s="667"/>
      <c r="G1296" s="743"/>
      <c r="H1296" s="743"/>
      <c r="I1296" s="743"/>
      <c r="J1296" s="743"/>
      <c r="K1296" s="743"/>
      <c r="L1296" s="743"/>
      <c r="M1296" s="743"/>
      <c r="N1296" s="744"/>
      <c r="O1296" s="744"/>
      <c r="P1296" s="744"/>
    </row>
    <row r="1297" spans="4:16" s="13" customFormat="1" ht="20.25" customHeight="1">
      <c r="D1297" s="667"/>
      <c r="E1297" s="667"/>
      <c r="G1297" s="743"/>
      <c r="H1297" s="743"/>
      <c r="I1297" s="743"/>
      <c r="J1297" s="743"/>
      <c r="K1297" s="743"/>
      <c r="L1297" s="743"/>
      <c r="M1297" s="743"/>
      <c r="N1297" s="744"/>
      <c r="O1297" s="744"/>
      <c r="P1297" s="744"/>
    </row>
    <row r="1298" spans="4:16" s="13" customFormat="1" ht="20.25" customHeight="1">
      <c r="D1298" s="667"/>
      <c r="E1298" s="667"/>
      <c r="G1298" s="743"/>
      <c r="H1298" s="743"/>
      <c r="I1298" s="743"/>
      <c r="J1298" s="743"/>
      <c r="K1298" s="743"/>
      <c r="L1298" s="743"/>
      <c r="M1298" s="743"/>
      <c r="N1298" s="744"/>
      <c r="O1298" s="744"/>
      <c r="P1298" s="744"/>
    </row>
    <row r="1299" spans="4:16" s="13" customFormat="1" ht="20.25" customHeight="1">
      <c r="D1299" s="667"/>
      <c r="E1299" s="667"/>
      <c r="G1299" s="743"/>
      <c r="H1299" s="743"/>
      <c r="I1299" s="743"/>
      <c r="J1299" s="743"/>
      <c r="K1299" s="743"/>
      <c r="L1299" s="743"/>
      <c r="M1299" s="743"/>
      <c r="N1299" s="744"/>
      <c r="O1299" s="744"/>
      <c r="P1299" s="744"/>
    </row>
    <row r="1300" spans="4:16" s="13" customFormat="1" ht="20.25" customHeight="1">
      <c r="D1300" s="667"/>
      <c r="E1300" s="667"/>
      <c r="G1300" s="743"/>
      <c r="H1300" s="743"/>
      <c r="I1300" s="743"/>
      <c r="J1300" s="743"/>
      <c r="K1300" s="743"/>
      <c r="L1300" s="743"/>
      <c r="M1300" s="743"/>
      <c r="N1300" s="744"/>
      <c r="O1300" s="744"/>
      <c r="P1300" s="744"/>
    </row>
    <row r="1301" spans="4:16" s="13" customFormat="1" ht="20.25" customHeight="1">
      <c r="D1301" s="667"/>
      <c r="E1301" s="667"/>
      <c r="G1301" s="743"/>
      <c r="H1301" s="743"/>
      <c r="I1301" s="743"/>
      <c r="J1301" s="743"/>
      <c r="K1301" s="743"/>
      <c r="L1301" s="743"/>
      <c r="M1301" s="743"/>
      <c r="N1301" s="744"/>
      <c r="O1301" s="744"/>
      <c r="P1301" s="744"/>
    </row>
    <row r="1302" spans="4:16" s="13" customFormat="1" ht="20.25" customHeight="1">
      <c r="D1302" s="667"/>
      <c r="E1302" s="667"/>
      <c r="G1302" s="743"/>
      <c r="H1302" s="743"/>
      <c r="I1302" s="743"/>
      <c r="J1302" s="743"/>
      <c r="K1302" s="743"/>
      <c r="L1302" s="743"/>
      <c r="M1302" s="743"/>
      <c r="N1302" s="744"/>
      <c r="O1302" s="744"/>
      <c r="P1302" s="744"/>
    </row>
    <row r="1303" spans="4:16" s="13" customFormat="1" ht="20.25" customHeight="1">
      <c r="D1303" s="667"/>
      <c r="E1303" s="667"/>
      <c r="G1303" s="743"/>
      <c r="H1303" s="743"/>
      <c r="I1303" s="743"/>
      <c r="J1303" s="743"/>
      <c r="K1303" s="743"/>
      <c r="L1303" s="743"/>
      <c r="M1303" s="743"/>
      <c r="N1303" s="744"/>
      <c r="O1303" s="744"/>
      <c r="P1303" s="744"/>
    </row>
    <row r="1304" spans="4:16" s="13" customFormat="1" ht="20.25" customHeight="1">
      <c r="D1304" s="667"/>
      <c r="E1304" s="667"/>
      <c r="G1304" s="743"/>
      <c r="H1304" s="743"/>
      <c r="I1304" s="743"/>
      <c r="J1304" s="743"/>
      <c r="K1304" s="743"/>
      <c r="L1304" s="743"/>
      <c r="M1304" s="743"/>
      <c r="N1304" s="744"/>
      <c r="O1304" s="744"/>
      <c r="P1304" s="744"/>
    </row>
    <row r="1305" spans="4:16" s="13" customFormat="1" ht="20.25" customHeight="1">
      <c r="D1305" s="667"/>
      <c r="E1305" s="667"/>
      <c r="G1305" s="743"/>
      <c r="H1305" s="743"/>
      <c r="I1305" s="743"/>
      <c r="J1305" s="743"/>
      <c r="K1305" s="743"/>
      <c r="L1305" s="743"/>
      <c r="M1305" s="743"/>
      <c r="N1305" s="744"/>
      <c r="O1305" s="744"/>
      <c r="P1305" s="744"/>
    </row>
    <row r="1306" spans="4:16" s="13" customFormat="1" ht="20.25" customHeight="1">
      <c r="D1306" s="667"/>
      <c r="E1306" s="667"/>
      <c r="G1306" s="743"/>
      <c r="H1306" s="743"/>
      <c r="I1306" s="743"/>
      <c r="J1306" s="743"/>
      <c r="K1306" s="743"/>
      <c r="L1306" s="743"/>
      <c r="M1306" s="743"/>
      <c r="N1306" s="744"/>
      <c r="O1306" s="744"/>
      <c r="P1306" s="744"/>
    </row>
    <row r="1307" spans="4:16" s="13" customFormat="1" ht="20.25" customHeight="1">
      <c r="D1307" s="667"/>
      <c r="E1307" s="667"/>
      <c r="G1307" s="743"/>
      <c r="H1307" s="743"/>
      <c r="I1307" s="743"/>
      <c r="J1307" s="743"/>
      <c r="K1307" s="743"/>
      <c r="L1307" s="743"/>
      <c r="M1307" s="743"/>
      <c r="N1307" s="744"/>
      <c r="O1307" s="744"/>
      <c r="P1307" s="744"/>
    </row>
    <row r="1308" spans="4:16" s="13" customFormat="1" ht="20.25" customHeight="1">
      <c r="D1308" s="667"/>
      <c r="E1308" s="667"/>
      <c r="G1308" s="743"/>
      <c r="H1308" s="743"/>
      <c r="I1308" s="743"/>
      <c r="J1308" s="743"/>
      <c r="K1308" s="743"/>
      <c r="L1308" s="743"/>
      <c r="M1308" s="743"/>
      <c r="N1308" s="744"/>
      <c r="O1308" s="744"/>
      <c r="P1308" s="744"/>
    </row>
    <row r="1309" spans="4:16" s="13" customFormat="1" ht="20.25" customHeight="1">
      <c r="D1309" s="667"/>
      <c r="E1309" s="667"/>
      <c r="G1309" s="743"/>
      <c r="H1309" s="743"/>
      <c r="I1309" s="743"/>
      <c r="J1309" s="743"/>
      <c r="K1309" s="743"/>
      <c r="L1309" s="743"/>
      <c r="M1309" s="743"/>
      <c r="N1309" s="744"/>
      <c r="O1309" s="744"/>
      <c r="P1309" s="744"/>
    </row>
    <row r="1310" spans="4:16" s="13" customFormat="1" ht="20.25" customHeight="1">
      <c r="D1310" s="667"/>
      <c r="E1310" s="667"/>
      <c r="G1310" s="743"/>
      <c r="H1310" s="743"/>
      <c r="I1310" s="743"/>
      <c r="J1310" s="743"/>
      <c r="K1310" s="743"/>
      <c r="L1310" s="743"/>
      <c r="M1310" s="743"/>
      <c r="N1310" s="744"/>
      <c r="O1310" s="744"/>
      <c r="P1310" s="744"/>
    </row>
    <row r="1311" spans="4:16" s="13" customFormat="1" ht="20.25" customHeight="1">
      <c r="D1311" s="667"/>
      <c r="E1311" s="667"/>
      <c r="G1311" s="743"/>
      <c r="H1311" s="743"/>
      <c r="I1311" s="743"/>
      <c r="J1311" s="743"/>
      <c r="K1311" s="743"/>
      <c r="L1311" s="743"/>
      <c r="M1311" s="743"/>
      <c r="N1311" s="744"/>
      <c r="O1311" s="744"/>
      <c r="P1311" s="744"/>
    </row>
    <row r="1312" spans="4:16" s="13" customFormat="1" ht="20.25" customHeight="1">
      <c r="D1312" s="667"/>
      <c r="E1312" s="667"/>
      <c r="G1312" s="743"/>
      <c r="H1312" s="743"/>
      <c r="I1312" s="743"/>
      <c r="J1312" s="743"/>
      <c r="K1312" s="743"/>
      <c r="L1312" s="743"/>
      <c r="M1312" s="743"/>
      <c r="N1312" s="744"/>
      <c r="O1312" s="744"/>
      <c r="P1312" s="744"/>
    </row>
    <row r="1313" spans="4:16" s="13" customFormat="1" ht="20.25" customHeight="1">
      <c r="D1313" s="667"/>
      <c r="E1313" s="667"/>
      <c r="G1313" s="743"/>
      <c r="H1313" s="743"/>
      <c r="I1313" s="743"/>
      <c r="J1313" s="743"/>
      <c r="K1313" s="743"/>
      <c r="L1313" s="743"/>
      <c r="M1313" s="743"/>
      <c r="N1313" s="744"/>
      <c r="O1313" s="744"/>
      <c r="P1313" s="744"/>
    </row>
    <row r="1314" spans="4:16" s="13" customFormat="1" ht="20.25" customHeight="1">
      <c r="D1314" s="667"/>
      <c r="E1314" s="667"/>
      <c r="G1314" s="743"/>
      <c r="H1314" s="743"/>
      <c r="I1314" s="743"/>
      <c r="J1314" s="743"/>
      <c r="K1314" s="743"/>
      <c r="L1314" s="743"/>
      <c r="M1314" s="743"/>
      <c r="N1314" s="744"/>
      <c r="O1314" s="744"/>
      <c r="P1314" s="744"/>
    </row>
    <row r="1315" spans="4:16" s="13" customFormat="1" ht="20.25" customHeight="1">
      <c r="D1315" s="667"/>
      <c r="E1315" s="667"/>
      <c r="G1315" s="743"/>
      <c r="H1315" s="743"/>
      <c r="I1315" s="743"/>
      <c r="J1315" s="743"/>
      <c r="K1315" s="743"/>
      <c r="L1315" s="743"/>
      <c r="M1315" s="743"/>
      <c r="N1315" s="744"/>
      <c r="O1315" s="744"/>
      <c r="P1315" s="744"/>
    </row>
    <row r="1316" spans="4:16" s="13" customFormat="1" ht="20.25" customHeight="1">
      <c r="D1316" s="667"/>
      <c r="E1316" s="667"/>
      <c r="G1316" s="743"/>
      <c r="H1316" s="743"/>
      <c r="I1316" s="743"/>
      <c r="J1316" s="743"/>
      <c r="K1316" s="743"/>
      <c r="L1316" s="743"/>
      <c r="M1316" s="743"/>
      <c r="N1316" s="744"/>
      <c r="O1316" s="744"/>
      <c r="P1316" s="744"/>
    </row>
    <row r="1317" spans="4:16" s="13" customFormat="1" ht="20.25" customHeight="1">
      <c r="D1317" s="667"/>
      <c r="E1317" s="667"/>
      <c r="G1317" s="743"/>
      <c r="H1317" s="743"/>
      <c r="I1317" s="743"/>
      <c r="J1317" s="743"/>
      <c r="K1317" s="743"/>
      <c r="L1317" s="743"/>
      <c r="M1317" s="743"/>
      <c r="N1317" s="744"/>
      <c r="O1317" s="744"/>
      <c r="P1317" s="744"/>
    </row>
    <row r="1318" spans="4:16" s="13" customFormat="1" ht="20.25" customHeight="1">
      <c r="D1318" s="667"/>
      <c r="E1318" s="667"/>
      <c r="G1318" s="743"/>
      <c r="H1318" s="743"/>
      <c r="I1318" s="743"/>
      <c r="J1318" s="743"/>
      <c r="K1318" s="743"/>
      <c r="L1318" s="743"/>
      <c r="M1318" s="743"/>
      <c r="N1318" s="744"/>
      <c r="O1318" s="744"/>
      <c r="P1318" s="744"/>
    </row>
    <row r="1319" spans="4:16" s="13" customFormat="1" ht="20.25" customHeight="1">
      <c r="D1319" s="667"/>
      <c r="E1319" s="667"/>
      <c r="G1319" s="743"/>
      <c r="H1319" s="743"/>
      <c r="I1319" s="743"/>
      <c r="J1319" s="743"/>
      <c r="K1319" s="743"/>
      <c r="L1319" s="743"/>
      <c r="M1319" s="743"/>
      <c r="N1319" s="744"/>
      <c r="O1319" s="744"/>
      <c r="P1319" s="744"/>
    </row>
    <row r="1320" spans="4:16" s="13" customFormat="1" ht="20.25" customHeight="1">
      <c r="D1320" s="667"/>
      <c r="E1320" s="667"/>
      <c r="G1320" s="743"/>
      <c r="H1320" s="743"/>
      <c r="I1320" s="743"/>
      <c r="J1320" s="743"/>
      <c r="K1320" s="743"/>
      <c r="L1320" s="743"/>
      <c r="M1320" s="743"/>
      <c r="N1320" s="744"/>
      <c r="O1320" s="744"/>
      <c r="P1320" s="744"/>
    </row>
    <row r="1321" spans="4:16" s="13" customFormat="1" ht="20.25" customHeight="1">
      <c r="D1321" s="667"/>
      <c r="E1321" s="667"/>
      <c r="G1321" s="743"/>
      <c r="H1321" s="743"/>
      <c r="I1321" s="743"/>
      <c r="J1321" s="743"/>
      <c r="K1321" s="743"/>
      <c r="L1321" s="743"/>
      <c r="M1321" s="743"/>
      <c r="N1321" s="744"/>
      <c r="O1321" s="744"/>
      <c r="P1321" s="744"/>
    </row>
    <row r="1322" spans="4:16" s="13" customFormat="1" ht="20.25" customHeight="1">
      <c r="D1322" s="667"/>
      <c r="E1322" s="667"/>
      <c r="G1322" s="743"/>
      <c r="H1322" s="743"/>
      <c r="I1322" s="743"/>
      <c r="J1322" s="743"/>
      <c r="K1322" s="743"/>
      <c r="L1322" s="743"/>
      <c r="M1322" s="743"/>
      <c r="N1322" s="744"/>
      <c r="O1322" s="744"/>
      <c r="P1322" s="744"/>
    </row>
    <row r="1323" spans="4:16" s="13" customFormat="1" ht="20.25" customHeight="1">
      <c r="D1323" s="667"/>
      <c r="E1323" s="667"/>
      <c r="G1323" s="743"/>
      <c r="H1323" s="743"/>
      <c r="I1323" s="743"/>
      <c r="J1323" s="743"/>
      <c r="K1323" s="743"/>
      <c r="L1323" s="743"/>
      <c r="M1323" s="743"/>
      <c r="N1323" s="744"/>
      <c r="O1323" s="744"/>
      <c r="P1323" s="744"/>
    </row>
    <row r="1324" spans="4:16" s="13" customFormat="1" ht="20.25" customHeight="1">
      <c r="D1324" s="667"/>
      <c r="E1324" s="667"/>
      <c r="G1324" s="743"/>
      <c r="H1324" s="743"/>
      <c r="I1324" s="743"/>
      <c r="J1324" s="743"/>
      <c r="K1324" s="743"/>
      <c r="L1324" s="743"/>
      <c r="M1324" s="743"/>
      <c r="N1324" s="744"/>
      <c r="O1324" s="744"/>
      <c r="P1324" s="744"/>
    </row>
    <row r="1325" spans="4:16" s="13" customFormat="1" ht="20.25" customHeight="1">
      <c r="D1325" s="667"/>
      <c r="E1325" s="667"/>
      <c r="G1325" s="743"/>
      <c r="H1325" s="743"/>
      <c r="I1325" s="743"/>
      <c r="J1325" s="743"/>
      <c r="K1325" s="743"/>
      <c r="L1325" s="743"/>
      <c r="M1325" s="743"/>
      <c r="N1325" s="744"/>
      <c r="O1325" s="744"/>
      <c r="P1325" s="744"/>
    </row>
    <row r="1326" spans="4:16" s="13" customFormat="1" ht="20.25" customHeight="1">
      <c r="D1326" s="667"/>
      <c r="E1326" s="667"/>
      <c r="G1326" s="743"/>
      <c r="H1326" s="743"/>
      <c r="I1326" s="743"/>
      <c r="J1326" s="743"/>
      <c r="K1326" s="743"/>
      <c r="L1326" s="743"/>
      <c r="M1326" s="743"/>
      <c r="N1326" s="744"/>
      <c r="O1326" s="744"/>
      <c r="P1326" s="744"/>
    </row>
    <row r="1327" spans="4:16" s="13" customFormat="1" ht="20.25" customHeight="1">
      <c r="D1327" s="667"/>
      <c r="E1327" s="667"/>
      <c r="G1327" s="743"/>
      <c r="H1327" s="743"/>
      <c r="I1327" s="743"/>
      <c r="J1327" s="743"/>
      <c r="K1327" s="743"/>
      <c r="L1327" s="743"/>
      <c r="M1327" s="743"/>
      <c r="N1327" s="744"/>
      <c r="O1327" s="744"/>
      <c r="P1327" s="744"/>
    </row>
    <row r="1328" spans="4:16" s="13" customFormat="1" ht="20.25" customHeight="1">
      <c r="D1328" s="667"/>
      <c r="E1328" s="667"/>
      <c r="G1328" s="743"/>
      <c r="H1328" s="743"/>
      <c r="I1328" s="743"/>
      <c r="J1328" s="743"/>
      <c r="K1328" s="743"/>
      <c r="L1328" s="743"/>
      <c r="M1328" s="743"/>
      <c r="N1328" s="744"/>
      <c r="O1328" s="744"/>
      <c r="P1328" s="744"/>
    </row>
    <row r="1329" spans="4:16" s="13" customFormat="1" ht="20.25" customHeight="1">
      <c r="D1329" s="667"/>
      <c r="E1329" s="667"/>
      <c r="G1329" s="743"/>
      <c r="H1329" s="743"/>
      <c r="I1329" s="743"/>
      <c r="J1329" s="743"/>
      <c r="K1329" s="743"/>
      <c r="L1329" s="743"/>
      <c r="M1329" s="743"/>
      <c r="N1329" s="744"/>
      <c r="O1329" s="744"/>
      <c r="P1329" s="744"/>
    </row>
    <row r="1330" spans="4:16" s="13" customFormat="1" ht="20.25" customHeight="1">
      <c r="D1330" s="667"/>
      <c r="E1330" s="667"/>
      <c r="G1330" s="743"/>
      <c r="H1330" s="743"/>
      <c r="I1330" s="743"/>
      <c r="J1330" s="743"/>
      <c r="K1330" s="743"/>
      <c r="L1330" s="743"/>
      <c r="M1330" s="743"/>
      <c r="N1330" s="744"/>
      <c r="O1330" s="744"/>
      <c r="P1330" s="744"/>
    </row>
    <row r="1331" spans="4:16" s="13" customFormat="1" ht="20.25" customHeight="1">
      <c r="D1331" s="667"/>
      <c r="E1331" s="667"/>
      <c r="G1331" s="743"/>
      <c r="H1331" s="743"/>
      <c r="I1331" s="743"/>
      <c r="J1331" s="743"/>
      <c r="K1331" s="743"/>
      <c r="L1331" s="743"/>
      <c r="M1331" s="743"/>
      <c r="N1331" s="744"/>
      <c r="O1331" s="744"/>
      <c r="P1331" s="744"/>
    </row>
    <row r="1332" spans="4:16" s="13" customFormat="1" ht="20.25" customHeight="1">
      <c r="D1332" s="667"/>
      <c r="E1332" s="667"/>
      <c r="G1332" s="743"/>
      <c r="H1332" s="743"/>
      <c r="I1332" s="743"/>
      <c r="J1332" s="743"/>
      <c r="K1332" s="743"/>
      <c r="L1332" s="743"/>
      <c r="M1332" s="743"/>
      <c r="N1332" s="744"/>
      <c r="O1332" s="744"/>
      <c r="P1332" s="744"/>
    </row>
    <row r="1333" spans="4:16" s="13" customFormat="1" ht="20.25" customHeight="1">
      <c r="D1333" s="667"/>
      <c r="E1333" s="667"/>
      <c r="G1333" s="743"/>
      <c r="H1333" s="743"/>
      <c r="I1333" s="743"/>
      <c r="J1333" s="743"/>
      <c r="K1333" s="743"/>
      <c r="L1333" s="743"/>
      <c r="M1333" s="743"/>
      <c r="N1333" s="744"/>
      <c r="O1333" s="744"/>
      <c r="P1333" s="744"/>
    </row>
    <row r="1334" spans="4:16" s="13" customFormat="1" ht="20.25" customHeight="1">
      <c r="D1334" s="667"/>
      <c r="E1334" s="667"/>
      <c r="G1334" s="743"/>
      <c r="H1334" s="743"/>
      <c r="I1334" s="743"/>
      <c r="J1334" s="743"/>
      <c r="K1334" s="743"/>
      <c r="L1334" s="743"/>
      <c r="M1334" s="743"/>
      <c r="N1334" s="744"/>
      <c r="O1334" s="744"/>
      <c r="P1334" s="744"/>
    </row>
    <row r="1335" spans="4:16" s="13" customFormat="1" ht="20.25" customHeight="1">
      <c r="D1335" s="667"/>
      <c r="E1335" s="667"/>
      <c r="G1335" s="743"/>
      <c r="H1335" s="743"/>
      <c r="I1335" s="743"/>
      <c r="J1335" s="743"/>
      <c r="K1335" s="743"/>
      <c r="L1335" s="743"/>
      <c r="M1335" s="743"/>
      <c r="N1335" s="744"/>
      <c r="O1335" s="744"/>
      <c r="P1335" s="744"/>
    </row>
    <row r="1336" spans="4:16" s="13" customFormat="1" ht="20.25" customHeight="1">
      <c r="D1336" s="667"/>
      <c r="E1336" s="667"/>
      <c r="G1336" s="743"/>
      <c r="H1336" s="743"/>
      <c r="I1336" s="743"/>
      <c r="J1336" s="743"/>
      <c r="K1336" s="743"/>
      <c r="L1336" s="743"/>
      <c r="M1336" s="743"/>
      <c r="N1336" s="744"/>
      <c r="O1336" s="744"/>
      <c r="P1336" s="744"/>
    </row>
    <row r="1337" spans="4:16" s="13" customFormat="1" ht="20.25" customHeight="1">
      <c r="D1337" s="667"/>
      <c r="E1337" s="667"/>
      <c r="G1337" s="743"/>
      <c r="H1337" s="743"/>
      <c r="I1337" s="743"/>
      <c r="J1337" s="743"/>
      <c r="K1337" s="743"/>
      <c r="L1337" s="743"/>
      <c r="M1337" s="743"/>
      <c r="N1337" s="744"/>
      <c r="O1337" s="744"/>
      <c r="P1337" s="744"/>
    </row>
    <row r="1338" spans="4:16" s="13" customFormat="1" ht="20.25" customHeight="1">
      <c r="D1338" s="667"/>
      <c r="E1338" s="667"/>
      <c r="G1338" s="743"/>
      <c r="H1338" s="743"/>
      <c r="I1338" s="743"/>
      <c r="J1338" s="743"/>
      <c r="K1338" s="743"/>
      <c r="L1338" s="743"/>
      <c r="M1338" s="743"/>
      <c r="N1338" s="744"/>
      <c r="O1338" s="744"/>
      <c r="P1338" s="744"/>
    </row>
    <row r="1339" spans="4:16" s="13" customFormat="1" ht="20.25" customHeight="1">
      <c r="D1339" s="667"/>
      <c r="E1339" s="667"/>
      <c r="G1339" s="743"/>
      <c r="H1339" s="743"/>
      <c r="I1339" s="743"/>
      <c r="J1339" s="743"/>
      <c r="K1339" s="743"/>
      <c r="L1339" s="743"/>
      <c r="M1339" s="743"/>
      <c r="N1339" s="744"/>
      <c r="O1339" s="744"/>
      <c r="P1339" s="744"/>
    </row>
    <row r="1340" spans="4:16" s="13" customFormat="1" ht="20.25" customHeight="1">
      <c r="D1340" s="667"/>
      <c r="E1340" s="667"/>
      <c r="G1340" s="743"/>
      <c r="H1340" s="743"/>
      <c r="I1340" s="743"/>
      <c r="J1340" s="743"/>
      <c r="K1340" s="743"/>
      <c r="L1340" s="743"/>
      <c r="M1340" s="743"/>
      <c r="N1340" s="744"/>
      <c r="O1340" s="744"/>
      <c r="P1340" s="744"/>
    </row>
    <row r="1341" spans="4:16" s="13" customFormat="1" ht="20.25" customHeight="1">
      <c r="D1341" s="667"/>
      <c r="E1341" s="667"/>
      <c r="G1341" s="743"/>
      <c r="H1341" s="743"/>
      <c r="I1341" s="743"/>
      <c r="J1341" s="743"/>
      <c r="K1341" s="743"/>
      <c r="L1341" s="743"/>
      <c r="M1341" s="743"/>
      <c r="N1341" s="744"/>
      <c r="O1341" s="744"/>
      <c r="P1341" s="744"/>
    </row>
    <row r="1342" spans="4:16" s="13" customFormat="1" ht="20.25" customHeight="1">
      <c r="D1342" s="667"/>
      <c r="E1342" s="667"/>
      <c r="G1342" s="743"/>
      <c r="H1342" s="743"/>
      <c r="I1342" s="743"/>
      <c r="J1342" s="743"/>
      <c r="K1342" s="743"/>
      <c r="L1342" s="743"/>
      <c r="M1342" s="743"/>
      <c r="N1342" s="744"/>
      <c r="O1342" s="744"/>
      <c r="P1342" s="744"/>
    </row>
    <row r="1343" spans="4:16" s="13" customFormat="1" ht="20.25" customHeight="1">
      <c r="D1343" s="667"/>
      <c r="E1343" s="667"/>
      <c r="G1343" s="743"/>
      <c r="H1343" s="743"/>
      <c r="I1343" s="743"/>
      <c r="J1343" s="743"/>
      <c r="K1343" s="743"/>
      <c r="L1343" s="743"/>
      <c r="M1343" s="743"/>
      <c r="N1343" s="744"/>
      <c r="O1343" s="744"/>
      <c r="P1343" s="744"/>
    </row>
    <row r="1344" spans="4:16" s="13" customFormat="1" ht="20.25" customHeight="1">
      <c r="D1344" s="667"/>
      <c r="E1344" s="667"/>
      <c r="G1344" s="743"/>
      <c r="H1344" s="743"/>
      <c r="I1344" s="743"/>
      <c r="J1344" s="743"/>
      <c r="K1344" s="743"/>
      <c r="L1344" s="743"/>
      <c r="M1344" s="743"/>
      <c r="N1344" s="744"/>
      <c r="O1344" s="744"/>
      <c r="P1344" s="744"/>
    </row>
    <row r="1345" spans="4:16" s="13" customFormat="1" ht="20.25" customHeight="1">
      <c r="D1345" s="667"/>
      <c r="E1345" s="667"/>
      <c r="G1345" s="743"/>
      <c r="H1345" s="743"/>
      <c r="I1345" s="743"/>
      <c r="J1345" s="743"/>
      <c r="K1345" s="743"/>
      <c r="L1345" s="743"/>
      <c r="M1345" s="743"/>
      <c r="N1345" s="744"/>
      <c r="O1345" s="744"/>
      <c r="P1345" s="744"/>
    </row>
    <row r="1346" spans="4:16" s="13" customFormat="1" ht="20.25" customHeight="1">
      <c r="D1346" s="667"/>
      <c r="E1346" s="667"/>
      <c r="G1346" s="743"/>
      <c r="H1346" s="743"/>
      <c r="I1346" s="743"/>
      <c r="J1346" s="743"/>
      <c r="K1346" s="743"/>
      <c r="L1346" s="743"/>
      <c r="M1346" s="743"/>
      <c r="N1346" s="744"/>
      <c r="O1346" s="744"/>
      <c r="P1346" s="744"/>
    </row>
    <row r="1347" spans="4:16" s="13" customFormat="1" ht="20.25" customHeight="1">
      <c r="D1347" s="667"/>
      <c r="E1347" s="667"/>
      <c r="G1347" s="743"/>
      <c r="H1347" s="743"/>
      <c r="I1347" s="743"/>
      <c r="J1347" s="743"/>
      <c r="K1347" s="743"/>
      <c r="L1347" s="743"/>
      <c r="M1347" s="743"/>
      <c r="N1347" s="744"/>
      <c r="O1347" s="744"/>
      <c r="P1347" s="744"/>
    </row>
    <row r="1348" spans="4:16" s="13" customFormat="1" ht="20.25" customHeight="1">
      <c r="D1348" s="667"/>
      <c r="E1348" s="667"/>
      <c r="G1348" s="743"/>
      <c r="H1348" s="743"/>
      <c r="I1348" s="743"/>
      <c r="J1348" s="743"/>
      <c r="K1348" s="743"/>
      <c r="L1348" s="743"/>
      <c r="M1348" s="743"/>
      <c r="N1348" s="744"/>
      <c r="O1348" s="744"/>
      <c r="P1348" s="744"/>
    </row>
    <row r="1349" spans="4:16" s="13" customFormat="1" ht="20.25" customHeight="1">
      <c r="D1349" s="667"/>
      <c r="E1349" s="667"/>
      <c r="G1349" s="743"/>
      <c r="H1349" s="743"/>
      <c r="I1349" s="743"/>
      <c r="J1349" s="743"/>
      <c r="K1349" s="743"/>
      <c r="L1349" s="743"/>
      <c r="M1349" s="743"/>
      <c r="N1349" s="744"/>
      <c r="O1349" s="744"/>
      <c r="P1349" s="744"/>
    </row>
    <row r="1350" spans="4:16" s="13" customFormat="1" ht="20.25" customHeight="1">
      <c r="D1350" s="667"/>
      <c r="E1350" s="667"/>
      <c r="G1350" s="743"/>
      <c r="H1350" s="743"/>
      <c r="I1350" s="743"/>
      <c r="J1350" s="743"/>
      <c r="K1350" s="743"/>
      <c r="L1350" s="743"/>
      <c r="M1350" s="743"/>
      <c r="N1350" s="744"/>
      <c r="O1350" s="744"/>
      <c r="P1350" s="744"/>
    </row>
    <row r="1351" spans="4:16" s="13" customFormat="1" ht="20.25" customHeight="1">
      <c r="D1351" s="667"/>
      <c r="E1351" s="667"/>
      <c r="G1351" s="743"/>
      <c r="H1351" s="743"/>
      <c r="I1351" s="743"/>
      <c r="J1351" s="743"/>
      <c r="K1351" s="743"/>
      <c r="L1351" s="743"/>
      <c r="M1351" s="743"/>
      <c r="N1351" s="744"/>
      <c r="O1351" s="744"/>
      <c r="P1351" s="744"/>
    </row>
    <row r="1352" spans="4:16" s="13" customFormat="1" ht="20.25" customHeight="1">
      <c r="D1352" s="667"/>
      <c r="E1352" s="667"/>
      <c r="G1352" s="743"/>
      <c r="H1352" s="743"/>
      <c r="I1352" s="743"/>
      <c r="J1352" s="743"/>
      <c r="K1352" s="743"/>
      <c r="L1352" s="743"/>
      <c r="M1352" s="743"/>
      <c r="N1352" s="744"/>
      <c r="O1352" s="744"/>
      <c r="P1352" s="744"/>
    </row>
    <row r="1353" spans="4:16" s="13" customFormat="1" ht="20.25" customHeight="1">
      <c r="D1353" s="667"/>
      <c r="E1353" s="667"/>
      <c r="G1353" s="743"/>
      <c r="H1353" s="743"/>
      <c r="I1353" s="743"/>
      <c r="J1353" s="743"/>
      <c r="K1353" s="743"/>
      <c r="L1353" s="743"/>
      <c r="M1353" s="743"/>
      <c r="N1353" s="744"/>
      <c r="O1353" s="744"/>
      <c r="P1353" s="744"/>
    </row>
    <row r="1354" spans="4:16" s="13" customFormat="1" ht="20.25" customHeight="1">
      <c r="D1354" s="667"/>
      <c r="E1354" s="667"/>
      <c r="G1354" s="743"/>
      <c r="H1354" s="743"/>
      <c r="I1354" s="743"/>
      <c r="J1354" s="743"/>
      <c r="K1354" s="743"/>
      <c r="L1354" s="743"/>
      <c r="M1354" s="743"/>
      <c r="N1354" s="744"/>
      <c r="O1354" s="744"/>
      <c r="P1354" s="744"/>
    </row>
    <row r="1355" spans="4:16" s="13" customFormat="1" ht="20.25" customHeight="1">
      <c r="D1355" s="667"/>
      <c r="E1355" s="667"/>
      <c r="G1355" s="743"/>
      <c r="H1355" s="743"/>
      <c r="I1355" s="743"/>
      <c r="J1355" s="743"/>
      <c r="K1355" s="743"/>
      <c r="L1355" s="743"/>
      <c r="M1355" s="743"/>
      <c r="N1355" s="744"/>
      <c r="O1355" s="744"/>
      <c r="P1355" s="744"/>
    </row>
    <row r="1356" spans="4:16" s="13" customFormat="1" ht="20.25" customHeight="1">
      <c r="D1356" s="667"/>
      <c r="E1356" s="667"/>
      <c r="G1356" s="743"/>
      <c r="H1356" s="743"/>
      <c r="I1356" s="743"/>
      <c r="J1356" s="743"/>
      <c r="K1356" s="743"/>
      <c r="L1356" s="743"/>
      <c r="M1356" s="743"/>
      <c r="N1356" s="744"/>
      <c r="O1356" s="744"/>
      <c r="P1356" s="744"/>
    </row>
    <row r="1357" spans="4:16" s="13" customFormat="1" ht="20.25" customHeight="1">
      <c r="D1357" s="667"/>
      <c r="E1357" s="667"/>
      <c r="G1357" s="743"/>
      <c r="H1357" s="743"/>
      <c r="I1357" s="743"/>
      <c r="J1357" s="743"/>
      <c r="K1357" s="743"/>
      <c r="L1357" s="743"/>
      <c r="M1357" s="743"/>
      <c r="N1357" s="744"/>
      <c r="O1357" s="744"/>
      <c r="P1357" s="744"/>
    </row>
    <row r="1358" spans="4:16" s="13" customFormat="1" ht="20.25" customHeight="1">
      <c r="D1358" s="667"/>
      <c r="E1358" s="667"/>
      <c r="G1358" s="743"/>
      <c r="H1358" s="743"/>
      <c r="I1358" s="743"/>
      <c r="J1358" s="743"/>
      <c r="K1358" s="743"/>
      <c r="L1358" s="743"/>
      <c r="M1358" s="743"/>
      <c r="N1358" s="744"/>
      <c r="O1358" s="744"/>
      <c r="P1358" s="744"/>
    </row>
    <row r="1359" spans="4:16" s="13" customFormat="1" ht="20.25" customHeight="1">
      <c r="D1359" s="667"/>
      <c r="E1359" s="667"/>
      <c r="G1359" s="743"/>
      <c r="H1359" s="743"/>
      <c r="I1359" s="743"/>
      <c r="J1359" s="743"/>
      <c r="K1359" s="743"/>
      <c r="L1359" s="743"/>
      <c r="M1359" s="743"/>
      <c r="N1359" s="744"/>
      <c r="O1359" s="744"/>
      <c r="P1359" s="744"/>
    </row>
    <row r="1360" spans="4:16" s="13" customFormat="1" ht="20.25" customHeight="1">
      <c r="D1360" s="667"/>
      <c r="E1360" s="667"/>
      <c r="G1360" s="743"/>
      <c r="H1360" s="743"/>
      <c r="I1360" s="743"/>
      <c r="J1360" s="743"/>
      <c r="K1360" s="743"/>
      <c r="L1360" s="743"/>
      <c r="M1360" s="743"/>
      <c r="N1360" s="744"/>
      <c r="O1360" s="744"/>
      <c r="P1360" s="744"/>
    </row>
    <row r="1361" spans="4:16" s="13" customFormat="1" ht="20.25" customHeight="1">
      <c r="D1361" s="667"/>
      <c r="E1361" s="667"/>
      <c r="G1361" s="743"/>
      <c r="H1361" s="743"/>
      <c r="I1361" s="743"/>
      <c r="J1361" s="743"/>
      <c r="K1361" s="743"/>
      <c r="L1361" s="743"/>
      <c r="M1361" s="743"/>
      <c r="N1361" s="744"/>
      <c r="O1361" s="744"/>
      <c r="P1361" s="744"/>
    </row>
    <row r="1362" spans="4:16" s="13" customFormat="1" ht="20.25" customHeight="1">
      <c r="D1362" s="667"/>
      <c r="E1362" s="667"/>
      <c r="G1362" s="743"/>
      <c r="H1362" s="743"/>
      <c r="I1362" s="743"/>
      <c r="J1362" s="743"/>
      <c r="K1362" s="743"/>
      <c r="L1362" s="743"/>
      <c r="M1362" s="743"/>
      <c r="N1362" s="744"/>
      <c r="O1362" s="744"/>
      <c r="P1362" s="744"/>
    </row>
    <row r="1363" spans="4:16" s="13" customFormat="1" ht="20.25" customHeight="1">
      <c r="D1363" s="667"/>
      <c r="E1363" s="667"/>
      <c r="G1363" s="743"/>
      <c r="H1363" s="743"/>
      <c r="I1363" s="743"/>
      <c r="J1363" s="743"/>
      <c r="K1363" s="743"/>
      <c r="L1363" s="743"/>
      <c r="M1363" s="743"/>
      <c r="N1363" s="744"/>
      <c r="O1363" s="744"/>
      <c r="P1363" s="744"/>
    </row>
    <row r="1364" spans="4:16" s="13" customFormat="1" ht="20.25" customHeight="1">
      <c r="D1364" s="667"/>
      <c r="E1364" s="667"/>
      <c r="G1364" s="743"/>
      <c r="H1364" s="743"/>
      <c r="I1364" s="743"/>
      <c r="J1364" s="743"/>
      <c r="K1364" s="743"/>
      <c r="L1364" s="743"/>
      <c r="M1364" s="743"/>
      <c r="N1364" s="744"/>
      <c r="O1364" s="744"/>
      <c r="P1364" s="744"/>
    </row>
    <row r="1365" spans="4:16" s="13" customFormat="1" ht="20.25" customHeight="1">
      <c r="D1365" s="667"/>
      <c r="E1365" s="667"/>
      <c r="G1365" s="743"/>
      <c r="H1365" s="743"/>
      <c r="I1365" s="743"/>
      <c r="J1365" s="743"/>
      <c r="K1365" s="743"/>
      <c r="L1365" s="743"/>
      <c r="M1365" s="743"/>
      <c r="N1365" s="744"/>
      <c r="O1365" s="744"/>
      <c r="P1365" s="744"/>
    </row>
    <row r="1366" spans="4:16" s="13" customFormat="1" ht="20.25" customHeight="1">
      <c r="D1366" s="667"/>
      <c r="E1366" s="667"/>
      <c r="G1366" s="743"/>
      <c r="H1366" s="743"/>
      <c r="I1366" s="743"/>
      <c r="J1366" s="743"/>
      <c r="K1366" s="743"/>
      <c r="L1366" s="743"/>
      <c r="M1366" s="743"/>
      <c r="N1366" s="744"/>
      <c r="O1366" s="744"/>
      <c r="P1366" s="744"/>
    </row>
    <row r="1367" spans="4:16" s="13" customFormat="1" ht="20.25" customHeight="1">
      <c r="D1367" s="667"/>
      <c r="E1367" s="667"/>
      <c r="G1367" s="743"/>
      <c r="H1367" s="743"/>
      <c r="I1367" s="743"/>
      <c r="J1367" s="743"/>
      <c r="K1367" s="743"/>
      <c r="L1367" s="743"/>
      <c r="M1367" s="743"/>
      <c r="N1367" s="744"/>
      <c r="O1367" s="744"/>
      <c r="P1367" s="744"/>
    </row>
    <row r="1368" spans="4:16" s="13" customFormat="1" ht="20.25" customHeight="1">
      <c r="D1368" s="667"/>
      <c r="E1368" s="667"/>
      <c r="G1368" s="743"/>
      <c r="H1368" s="743"/>
      <c r="I1368" s="743"/>
      <c r="J1368" s="743"/>
      <c r="K1368" s="743"/>
      <c r="L1368" s="743"/>
      <c r="M1368" s="743"/>
      <c r="N1368" s="744"/>
      <c r="O1368" s="744"/>
      <c r="P1368" s="744"/>
    </row>
    <row r="1369" spans="4:16" s="13" customFormat="1" ht="20.25" customHeight="1">
      <c r="D1369" s="667"/>
      <c r="E1369" s="667"/>
      <c r="G1369" s="743"/>
      <c r="H1369" s="743"/>
      <c r="I1369" s="743"/>
      <c r="J1369" s="743"/>
      <c r="K1369" s="743"/>
      <c r="L1369" s="743"/>
      <c r="M1369" s="743"/>
      <c r="N1369" s="744"/>
      <c r="O1369" s="744"/>
      <c r="P1369" s="744"/>
    </row>
    <row r="1370" spans="4:16" s="13" customFormat="1" ht="20.25" customHeight="1">
      <c r="D1370" s="667"/>
      <c r="E1370" s="667"/>
      <c r="G1370" s="743"/>
      <c r="H1370" s="743"/>
      <c r="I1370" s="743"/>
      <c r="J1370" s="743"/>
      <c r="K1370" s="743"/>
      <c r="L1370" s="743"/>
      <c r="M1370" s="743"/>
      <c r="N1370" s="744"/>
      <c r="O1370" s="744"/>
      <c r="P1370" s="744"/>
    </row>
    <row r="1371" spans="4:16" s="13" customFormat="1" ht="20.25" customHeight="1">
      <c r="D1371" s="667"/>
      <c r="E1371" s="667"/>
      <c r="G1371" s="743"/>
      <c r="H1371" s="743"/>
      <c r="I1371" s="743"/>
      <c r="J1371" s="743"/>
      <c r="K1371" s="743"/>
      <c r="L1371" s="743"/>
      <c r="M1371" s="743"/>
      <c r="N1371" s="744"/>
      <c r="O1371" s="744"/>
      <c r="P1371" s="744"/>
    </row>
    <row r="1372" spans="4:16" s="13" customFormat="1" ht="20.25" customHeight="1">
      <c r="D1372" s="667"/>
      <c r="E1372" s="667"/>
      <c r="G1372" s="743"/>
      <c r="H1372" s="743"/>
      <c r="I1372" s="743"/>
      <c r="J1372" s="743"/>
      <c r="K1372" s="743"/>
      <c r="L1372" s="743"/>
      <c r="M1372" s="743"/>
      <c r="N1372" s="744"/>
      <c r="O1372" s="744"/>
      <c r="P1372" s="744"/>
    </row>
    <row r="1373" spans="4:16" s="13" customFormat="1" ht="20.25" customHeight="1">
      <c r="D1373" s="667"/>
      <c r="E1373" s="667"/>
      <c r="G1373" s="743"/>
      <c r="H1373" s="743"/>
      <c r="I1373" s="743"/>
      <c r="J1373" s="743"/>
      <c r="K1373" s="743"/>
      <c r="L1373" s="743"/>
      <c r="M1373" s="743"/>
      <c r="N1373" s="744"/>
      <c r="O1373" s="744"/>
      <c r="P1373" s="744"/>
    </row>
    <row r="1374" spans="4:16" s="13" customFormat="1" ht="20.25" customHeight="1">
      <c r="D1374" s="667"/>
      <c r="E1374" s="667"/>
      <c r="G1374" s="743"/>
      <c r="H1374" s="743"/>
      <c r="I1374" s="743"/>
      <c r="J1374" s="743"/>
      <c r="K1374" s="743"/>
      <c r="L1374" s="743"/>
      <c r="M1374" s="743"/>
      <c r="N1374" s="744"/>
      <c r="O1374" s="744"/>
      <c r="P1374" s="744"/>
    </row>
    <row r="1375" spans="4:16" s="13" customFormat="1" ht="20.25" customHeight="1">
      <c r="D1375" s="667"/>
      <c r="E1375" s="667"/>
      <c r="G1375" s="743"/>
      <c r="H1375" s="743"/>
      <c r="I1375" s="743"/>
      <c r="J1375" s="743"/>
      <c r="K1375" s="743"/>
      <c r="L1375" s="743"/>
      <c r="M1375" s="743"/>
      <c r="N1375" s="744"/>
      <c r="O1375" s="744"/>
      <c r="P1375" s="744"/>
    </row>
    <row r="1376" spans="4:16" s="13" customFormat="1" ht="20.25" customHeight="1">
      <c r="D1376" s="667"/>
      <c r="E1376" s="667"/>
      <c r="G1376" s="743"/>
      <c r="H1376" s="743"/>
      <c r="I1376" s="743"/>
      <c r="J1376" s="743"/>
      <c r="K1376" s="743"/>
      <c r="L1376" s="743"/>
      <c r="M1376" s="743"/>
      <c r="N1376" s="744"/>
      <c r="O1376" s="744"/>
      <c r="P1376" s="744"/>
    </row>
    <row r="1377" spans="4:16" s="13" customFormat="1" ht="20.25" customHeight="1">
      <c r="D1377" s="667"/>
      <c r="E1377" s="667"/>
      <c r="G1377" s="743"/>
      <c r="H1377" s="743"/>
      <c r="I1377" s="743"/>
      <c r="J1377" s="743"/>
      <c r="K1377" s="743"/>
      <c r="L1377" s="743"/>
      <c r="M1377" s="743"/>
      <c r="N1377" s="744"/>
      <c r="O1377" s="744"/>
      <c r="P1377" s="744"/>
    </row>
    <row r="1378" spans="4:16" s="13" customFormat="1" ht="20.25" customHeight="1">
      <c r="D1378" s="667"/>
      <c r="E1378" s="667"/>
      <c r="G1378" s="743"/>
      <c r="H1378" s="743"/>
      <c r="I1378" s="743"/>
      <c r="J1378" s="743"/>
      <c r="K1378" s="743"/>
      <c r="L1378" s="743"/>
      <c r="M1378" s="743"/>
      <c r="N1378" s="744"/>
      <c r="O1378" s="744"/>
      <c r="P1378" s="744"/>
    </row>
    <row r="1379" spans="4:16" s="13" customFormat="1" ht="20.25" customHeight="1">
      <c r="D1379" s="667"/>
      <c r="E1379" s="667"/>
      <c r="G1379" s="743"/>
      <c r="H1379" s="743"/>
      <c r="I1379" s="743"/>
      <c r="J1379" s="743"/>
      <c r="K1379" s="743"/>
      <c r="L1379" s="743"/>
      <c r="M1379" s="743"/>
      <c r="N1379" s="744"/>
      <c r="O1379" s="744"/>
      <c r="P1379" s="744"/>
    </row>
    <row r="1380" spans="4:16" s="13" customFormat="1" ht="20.25" customHeight="1">
      <c r="D1380" s="667"/>
      <c r="E1380" s="667"/>
      <c r="G1380" s="743"/>
      <c r="H1380" s="743"/>
      <c r="I1380" s="743"/>
      <c r="J1380" s="743"/>
      <c r="K1380" s="743"/>
      <c r="L1380" s="743"/>
      <c r="M1380" s="743"/>
      <c r="N1380" s="744"/>
      <c r="O1380" s="744"/>
      <c r="P1380" s="744"/>
    </row>
    <row r="1381" spans="4:16" s="13" customFormat="1" ht="20.25" customHeight="1">
      <c r="D1381" s="667"/>
      <c r="E1381" s="667"/>
      <c r="G1381" s="743"/>
      <c r="H1381" s="743"/>
      <c r="I1381" s="743"/>
      <c r="J1381" s="743"/>
      <c r="K1381" s="743"/>
      <c r="L1381" s="743"/>
      <c r="M1381" s="743"/>
      <c r="N1381" s="744"/>
      <c r="O1381" s="744"/>
      <c r="P1381" s="744"/>
    </row>
    <row r="1382" spans="4:16" s="13" customFormat="1" ht="20.25" customHeight="1">
      <c r="D1382" s="667"/>
      <c r="E1382" s="667"/>
      <c r="G1382" s="743"/>
      <c r="H1382" s="743"/>
      <c r="I1382" s="743"/>
      <c r="J1382" s="743"/>
      <c r="K1382" s="743"/>
      <c r="L1382" s="743"/>
      <c r="M1382" s="743"/>
      <c r="N1382" s="744"/>
      <c r="O1382" s="744"/>
      <c r="P1382" s="744"/>
    </row>
    <row r="1383" spans="4:16" s="13" customFormat="1" ht="20.25" customHeight="1">
      <c r="D1383" s="667"/>
      <c r="E1383" s="667"/>
      <c r="G1383" s="743"/>
      <c r="H1383" s="743"/>
      <c r="I1383" s="743"/>
      <c r="J1383" s="743"/>
      <c r="K1383" s="743"/>
      <c r="L1383" s="743"/>
      <c r="M1383" s="743"/>
      <c r="N1383" s="744"/>
      <c r="O1383" s="744"/>
      <c r="P1383" s="744"/>
    </row>
    <row r="1384" spans="4:16" s="13" customFormat="1" ht="20.25" customHeight="1">
      <c r="D1384" s="667"/>
      <c r="E1384" s="667"/>
      <c r="G1384" s="743"/>
      <c r="H1384" s="743"/>
      <c r="I1384" s="743"/>
      <c r="J1384" s="743"/>
      <c r="K1384" s="743"/>
      <c r="L1384" s="743"/>
      <c r="M1384" s="743"/>
      <c r="N1384" s="744"/>
      <c r="O1384" s="744"/>
      <c r="P1384" s="744"/>
    </row>
    <row r="1385" spans="4:16" s="13" customFormat="1" ht="20.25" customHeight="1">
      <c r="D1385" s="667"/>
      <c r="E1385" s="667"/>
      <c r="G1385" s="743"/>
      <c r="H1385" s="743"/>
      <c r="I1385" s="743"/>
      <c r="J1385" s="743"/>
      <c r="K1385" s="743"/>
      <c r="L1385" s="743"/>
      <c r="M1385" s="743"/>
      <c r="N1385" s="744"/>
      <c r="O1385" s="744"/>
      <c r="P1385" s="744"/>
    </row>
    <row r="1386" spans="4:16" s="13" customFormat="1" ht="20.25" customHeight="1">
      <c r="D1386" s="667"/>
      <c r="E1386" s="667"/>
      <c r="G1386" s="743"/>
      <c r="H1386" s="743"/>
      <c r="I1386" s="743"/>
      <c r="J1386" s="743"/>
      <c r="K1386" s="743"/>
      <c r="L1386" s="743"/>
      <c r="M1386" s="743"/>
      <c r="N1386" s="744"/>
      <c r="O1386" s="744"/>
      <c r="P1386" s="744"/>
    </row>
    <row r="1387" spans="4:16" s="13" customFormat="1" ht="20.25" customHeight="1">
      <c r="D1387" s="667"/>
      <c r="E1387" s="667"/>
      <c r="G1387" s="743"/>
      <c r="H1387" s="743"/>
      <c r="I1387" s="743"/>
      <c r="J1387" s="743"/>
      <c r="K1387" s="743"/>
      <c r="L1387" s="743"/>
      <c r="M1387" s="743"/>
      <c r="N1387" s="744"/>
      <c r="O1387" s="744"/>
      <c r="P1387" s="744"/>
    </row>
    <row r="1388" spans="4:16" s="13" customFormat="1" ht="20.25" customHeight="1">
      <c r="D1388" s="667"/>
      <c r="E1388" s="667"/>
      <c r="G1388" s="743"/>
      <c r="H1388" s="743"/>
      <c r="I1388" s="743"/>
      <c r="J1388" s="743"/>
      <c r="K1388" s="743"/>
      <c r="L1388" s="743"/>
      <c r="M1388" s="743"/>
      <c r="N1388" s="744"/>
      <c r="O1388" s="744"/>
      <c r="P1388" s="744"/>
    </row>
    <row r="1389" spans="4:16" s="13" customFormat="1" ht="20.25" customHeight="1">
      <c r="D1389" s="667"/>
      <c r="E1389" s="667"/>
      <c r="G1389" s="743"/>
      <c r="H1389" s="743"/>
      <c r="I1389" s="743"/>
      <c r="J1389" s="743"/>
      <c r="K1389" s="743"/>
      <c r="L1389" s="743"/>
      <c r="M1389" s="743"/>
      <c r="N1389" s="744"/>
      <c r="O1389" s="744"/>
      <c r="P1389" s="744"/>
    </row>
    <row r="1390" spans="4:16" s="13" customFormat="1" ht="20.25" customHeight="1">
      <c r="D1390" s="667"/>
      <c r="E1390" s="667"/>
      <c r="G1390" s="743"/>
      <c r="H1390" s="743"/>
      <c r="I1390" s="743"/>
      <c r="J1390" s="743"/>
      <c r="K1390" s="743"/>
      <c r="L1390" s="743"/>
      <c r="M1390" s="743"/>
      <c r="N1390" s="744"/>
      <c r="O1390" s="744"/>
      <c r="P1390" s="744"/>
    </row>
    <row r="1391" spans="4:16" s="13" customFormat="1" ht="20.25" customHeight="1">
      <c r="D1391" s="667"/>
      <c r="E1391" s="667"/>
      <c r="G1391" s="743"/>
      <c r="H1391" s="743"/>
      <c r="I1391" s="743"/>
      <c r="J1391" s="743"/>
      <c r="K1391" s="743"/>
      <c r="L1391" s="743"/>
      <c r="M1391" s="743"/>
      <c r="N1391" s="744"/>
      <c r="O1391" s="744"/>
      <c r="P1391" s="744"/>
    </row>
    <row r="1392" spans="4:16" s="13" customFormat="1" ht="20.25" customHeight="1">
      <c r="D1392" s="667"/>
      <c r="E1392" s="667"/>
      <c r="G1392" s="743"/>
      <c r="H1392" s="743"/>
      <c r="I1392" s="743"/>
      <c r="J1392" s="743"/>
      <c r="K1392" s="743"/>
      <c r="L1392" s="743"/>
      <c r="M1392" s="743"/>
      <c r="N1392" s="744"/>
      <c r="O1392" s="744"/>
      <c r="P1392" s="744"/>
    </row>
    <row r="1393" spans="4:16" s="13" customFormat="1" ht="20.25" customHeight="1">
      <c r="D1393" s="667"/>
      <c r="E1393" s="667"/>
      <c r="G1393" s="743"/>
      <c r="H1393" s="743"/>
      <c r="I1393" s="743"/>
      <c r="J1393" s="743"/>
      <c r="K1393" s="743"/>
      <c r="L1393" s="743"/>
      <c r="M1393" s="743"/>
      <c r="N1393" s="744"/>
      <c r="O1393" s="744"/>
      <c r="P1393" s="744"/>
    </row>
    <row r="1394" spans="4:16" s="13" customFormat="1" ht="20.25" customHeight="1">
      <c r="D1394" s="667"/>
      <c r="E1394" s="667"/>
      <c r="G1394" s="743"/>
      <c r="H1394" s="743"/>
      <c r="I1394" s="743"/>
      <c r="J1394" s="743"/>
      <c r="K1394" s="743"/>
      <c r="L1394" s="743"/>
      <c r="M1394" s="743"/>
      <c r="N1394" s="744"/>
      <c r="O1394" s="744"/>
      <c r="P1394" s="744"/>
    </row>
    <row r="1395" spans="4:16" s="13" customFormat="1" ht="20.25" customHeight="1">
      <c r="D1395" s="667"/>
      <c r="E1395" s="667"/>
      <c r="G1395" s="743"/>
      <c r="H1395" s="743"/>
      <c r="I1395" s="743"/>
      <c r="J1395" s="743"/>
      <c r="K1395" s="743"/>
      <c r="L1395" s="743"/>
      <c r="M1395" s="743"/>
      <c r="N1395" s="744"/>
      <c r="O1395" s="744"/>
      <c r="P1395" s="744"/>
    </row>
    <row r="1396" spans="4:16" s="13" customFormat="1" ht="20.25" customHeight="1">
      <c r="D1396" s="667"/>
      <c r="E1396" s="667"/>
      <c r="G1396" s="743"/>
      <c r="H1396" s="743"/>
      <c r="I1396" s="743"/>
      <c r="J1396" s="743"/>
      <c r="K1396" s="743"/>
      <c r="L1396" s="743"/>
      <c r="M1396" s="743"/>
      <c r="N1396" s="744"/>
      <c r="O1396" s="744"/>
      <c r="P1396" s="744"/>
    </row>
    <row r="1397" spans="4:16" s="13" customFormat="1" ht="20.25" customHeight="1">
      <c r="D1397" s="667"/>
      <c r="E1397" s="667"/>
      <c r="G1397" s="743"/>
      <c r="H1397" s="743"/>
      <c r="I1397" s="743"/>
      <c r="J1397" s="743"/>
      <c r="K1397" s="743"/>
      <c r="L1397" s="743"/>
      <c r="M1397" s="743"/>
      <c r="N1397" s="744"/>
      <c r="O1397" s="744"/>
      <c r="P1397" s="744"/>
    </row>
    <row r="1398" spans="4:16" s="13" customFormat="1" ht="20.25" customHeight="1">
      <c r="D1398" s="667"/>
      <c r="E1398" s="667"/>
      <c r="G1398" s="743"/>
      <c r="H1398" s="743"/>
      <c r="I1398" s="743"/>
      <c r="J1398" s="743"/>
      <c r="K1398" s="743"/>
      <c r="L1398" s="743"/>
      <c r="M1398" s="743"/>
      <c r="N1398" s="744"/>
      <c r="O1398" s="744"/>
      <c r="P1398" s="744"/>
    </row>
    <row r="1399" spans="4:16" s="13" customFormat="1" ht="20.25" customHeight="1">
      <c r="D1399" s="667"/>
      <c r="E1399" s="667"/>
      <c r="G1399" s="743"/>
      <c r="H1399" s="743"/>
      <c r="I1399" s="743"/>
      <c r="J1399" s="743"/>
      <c r="K1399" s="743"/>
      <c r="L1399" s="743"/>
      <c r="M1399" s="743"/>
      <c r="N1399" s="744"/>
      <c r="O1399" s="744"/>
      <c r="P1399" s="744"/>
    </row>
    <row r="1400" spans="4:16" s="13" customFormat="1" ht="20.25" customHeight="1">
      <c r="D1400" s="667"/>
      <c r="E1400" s="667"/>
      <c r="G1400" s="743"/>
      <c r="H1400" s="743"/>
      <c r="I1400" s="743"/>
      <c r="J1400" s="743"/>
      <c r="K1400" s="743"/>
      <c r="L1400" s="743"/>
      <c r="M1400" s="743"/>
      <c r="N1400" s="744"/>
      <c r="O1400" s="744"/>
      <c r="P1400" s="744"/>
    </row>
    <row r="1401" spans="4:16" s="13" customFormat="1" ht="20.25" customHeight="1">
      <c r="D1401" s="667"/>
      <c r="E1401" s="667"/>
      <c r="G1401" s="743"/>
      <c r="H1401" s="743"/>
      <c r="I1401" s="743"/>
      <c r="J1401" s="743"/>
      <c r="K1401" s="743"/>
      <c r="L1401" s="743"/>
      <c r="M1401" s="743"/>
      <c r="N1401" s="744"/>
      <c r="O1401" s="744"/>
      <c r="P1401" s="744"/>
    </row>
    <row r="1402" spans="4:16" s="13" customFormat="1" ht="20.25" customHeight="1">
      <c r="D1402" s="667"/>
      <c r="E1402" s="667"/>
      <c r="G1402" s="743"/>
      <c r="H1402" s="743"/>
      <c r="I1402" s="743"/>
      <c r="J1402" s="743"/>
      <c r="K1402" s="743"/>
      <c r="L1402" s="743"/>
      <c r="M1402" s="743"/>
      <c r="N1402" s="744"/>
      <c r="O1402" s="744"/>
      <c r="P1402" s="744"/>
    </row>
    <row r="1403" spans="4:16" s="13" customFormat="1" ht="20.25" customHeight="1">
      <c r="D1403" s="667"/>
      <c r="E1403" s="667"/>
      <c r="G1403" s="743"/>
      <c r="H1403" s="743"/>
      <c r="I1403" s="743"/>
      <c r="J1403" s="743"/>
      <c r="K1403" s="743"/>
      <c r="L1403" s="743"/>
      <c r="M1403" s="743"/>
      <c r="N1403" s="744"/>
      <c r="O1403" s="744"/>
      <c r="P1403" s="744"/>
    </row>
    <row r="1404" spans="4:16" s="13" customFormat="1" ht="20.25" customHeight="1">
      <c r="D1404" s="667"/>
      <c r="E1404" s="667"/>
      <c r="G1404" s="743"/>
      <c r="H1404" s="743"/>
      <c r="I1404" s="743"/>
      <c r="J1404" s="743"/>
      <c r="K1404" s="743"/>
      <c r="L1404" s="743"/>
      <c r="M1404" s="743"/>
      <c r="N1404" s="744"/>
      <c r="O1404" s="744"/>
      <c r="P1404" s="744"/>
    </row>
    <row r="1405" spans="4:16" s="13" customFormat="1" ht="20.25" customHeight="1">
      <c r="D1405" s="667"/>
      <c r="E1405" s="667"/>
      <c r="G1405" s="743"/>
      <c r="H1405" s="743"/>
      <c r="I1405" s="743"/>
      <c r="J1405" s="743"/>
      <c r="K1405" s="743"/>
      <c r="L1405" s="743"/>
      <c r="M1405" s="743"/>
      <c r="N1405" s="744"/>
      <c r="O1405" s="744"/>
      <c r="P1405" s="744"/>
    </row>
    <row r="1406" spans="4:16" s="13" customFormat="1" ht="20.25" customHeight="1">
      <c r="D1406" s="667"/>
      <c r="E1406" s="667"/>
      <c r="G1406" s="743"/>
      <c r="H1406" s="743"/>
      <c r="I1406" s="743"/>
      <c r="J1406" s="743"/>
      <c r="K1406" s="743"/>
      <c r="L1406" s="743"/>
      <c r="M1406" s="743"/>
      <c r="N1406" s="744"/>
      <c r="O1406" s="744"/>
      <c r="P1406" s="744"/>
    </row>
    <row r="1407" spans="4:16" s="13" customFormat="1" ht="20.25" customHeight="1">
      <c r="D1407" s="667"/>
      <c r="E1407" s="667"/>
      <c r="G1407" s="743"/>
      <c r="H1407" s="743"/>
      <c r="I1407" s="743"/>
      <c r="J1407" s="743"/>
      <c r="K1407" s="743"/>
      <c r="L1407" s="743"/>
      <c r="M1407" s="743"/>
      <c r="N1407" s="744"/>
      <c r="O1407" s="744"/>
      <c r="P1407" s="744"/>
    </row>
    <row r="1408" spans="4:16" s="13" customFormat="1" ht="20.25" customHeight="1">
      <c r="D1408" s="667"/>
      <c r="E1408" s="667"/>
      <c r="G1408" s="743"/>
      <c r="H1408" s="743"/>
      <c r="I1408" s="743"/>
      <c r="J1408" s="743"/>
      <c r="K1408" s="743"/>
      <c r="L1408" s="743"/>
      <c r="M1408" s="743"/>
      <c r="N1408" s="744"/>
      <c r="O1408" s="744"/>
      <c r="P1408" s="744"/>
    </row>
    <row r="1409" spans="4:16" s="13" customFormat="1" ht="20.25" customHeight="1">
      <c r="D1409" s="667"/>
      <c r="E1409" s="667"/>
      <c r="G1409" s="743"/>
      <c r="H1409" s="743"/>
      <c r="I1409" s="743"/>
      <c r="J1409" s="743"/>
      <c r="K1409" s="743"/>
      <c r="L1409" s="743"/>
      <c r="M1409" s="743"/>
      <c r="N1409" s="744"/>
      <c r="O1409" s="744"/>
      <c r="P1409" s="744"/>
    </row>
    <row r="1410" spans="4:16" s="13" customFormat="1" ht="20.25" customHeight="1">
      <c r="D1410" s="667"/>
      <c r="E1410" s="667"/>
      <c r="G1410" s="743"/>
      <c r="H1410" s="743"/>
      <c r="I1410" s="743"/>
      <c r="J1410" s="743"/>
      <c r="K1410" s="743"/>
      <c r="L1410" s="743"/>
      <c r="M1410" s="743"/>
      <c r="N1410" s="744"/>
      <c r="O1410" s="744"/>
      <c r="P1410" s="744"/>
    </row>
    <row r="1411" spans="4:16" s="13" customFormat="1" ht="20.25" customHeight="1">
      <c r="D1411" s="667"/>
      <c r="E1411" s="667"/>
      <c r="G1411" s="743"/>
      <c r="H1411" s="743"/>
      <c r="I1411" s="743"/>
      <c r="J1411" s="743"/>
      <c r="K1411" s="743"/>
      <c r="L1411" s="743"/>
      <c r="M1411" s="743"/>
      <c r="N1411" s="744"/>
      <c r="O1411" s="744"/>
      <c r="P1411" s="744"/>
    </row>
    <row r="1412" spans="4:16" s="13" customFormat="1" ht="20.25" customHeight="1">
      <c r="D1412" s="667"/>
      <c r="E1412" s="667"/>
      <c r="G1412" s="743"/>
      <c r="H1412" s="743"/>
      <c r="I1412" s="743"/>
      <c r="J1412" s="743"/>
      <c r="K1412" s="743"/>
      <c r="L1412" s="743"/>
      <c r="M1412" s="743"/>
      <c r="N1412" s="744"/>
      <c r="O1412" s="744"/>
      <c r="P1412" s="744"/>
    </row>
    <row r="1413" spans="4:16" s="13" customFormat="1" ht="20.25" customHeight="1">
      <c r="D1413" s="667"/>
      <c r="E1413" s="667"/>
      <c r="G1413" s="743"/>
      <c r="H1413" s="743"/>
      <c r="I1413" s="743"/>
      <c r="J1413" s="743"/>
      <c r="K1413" s="743"/>
      <c r="L1413" s="743"/>
      <c r="M1413" s="743"/>
      <c r="N1413" s="744"/>
      <c r="O1413" s="744"/>
      <c r="P1413" s="744"/>
    </row>
    <row r="1414" spans="4:16" s="13" customFormat="1" ht="20.25" customHeight="1">
      <c r="D1414" s="667"/>
      <c r="E1414" s="667"/>
      <c r="G1414" s="743"/>
      <c r="H1414" s="743"/>
      <c r="I1414" s="743"/>
      <c r="J1414" s="743"/>
      <c r="K1414" s="743"/>
      <c r="L1414" s="743"/>
      <c r="M1414" s="743"/>
      <c r="N1414" s="744"/>
      <c r="O1414" s="744"/>
      <c r="P1414" s="744"/>
    </row>
    <row r="1415" spans="4:16" s="13" customFormat="1" ht="20.25" customHeight="1">
      <c r="D1415" s="667"/>
      <c r="E1415" s="667"/>
      <c r="G1415" s="743"/>
      <c r="H1415" s="743"/>
      <c r="I1415" s="743"/>
      <c r="J1415" s="743"/>
      <c r="K1415" s="743"/>
      <c r="L1415" s="743"/>
      <c r="M1415" s="743"/>
      <c r="N1415" s="744"/>
      <c r="O1415" s="744"/>
      <c r="P1415" s="744"/>
    </row>
    <row r="1416" spans="4:16" s="13" customFormat="1" ht="20.25" customHeight="1">
      <c r="D1416" s="667"/>
      <c r="E1416" s="667"/>
      <c r="G1416" s="743"/>
      <c r="H1416" s="743"/>
      <c r="I1416" s="743"/>
      <c r="J1416" s="743"/>
      <c r="K1416" s="743"/>
      <c r="L1416" s="743"/>
      <c r="M1416" s="743"/>
      <c r="N1416" s="744"/>
      <c r="O1416" s="744"/>
      <c r="P1416" s="744"/>
    </row>
    <row r="1417" spans="4:16" s="13" customFormat="1" ht="20.25" customHeight="1">
      <c r="D1417" s="667"/>
      <c r="E1417" s="667"/>
      <c r="G1417" s="743"/>
      <c r="H1417" s="743"/>
      <c r="I1417" s="743"/>
      <c r="J1417" s="743"/>
      <c r="K1417" s="743"/>
      <c r="L1417" s="743"/>
      <c r="M1417" s="743"/>
      <c r="N1417" s="744"/>
      <c r="O1417" s="744"/>
      <c r="P1417" s="744"/>
    </row>
    <row r="1418" spans="4:16" s="13" customFormat="1" ht="20.25" customHeight="1">
      <c r="D1418" s="667"/>
      <c r="E1418" s="667"/>
      <c r="G1418" s="743"/>
      <c r="H1418" s="743"/>
      <c r="I1418" s="743"/>
      <c r="J1418" s="743"/>
      <c r="K1418" s="743"/>
      <c r="L1418" s="743"/>
      <c r="M1418" s="743"/>
      <c r="N1418" s="744"/>
      <c r="O1418" s="744"/>
      <c r="P1418" s="744"/>
    </row>
    <row r="1419" spans="4:16" s="13" customFormat="1" ht="20.25" customHeight="1">
      <c r="D1419" s="667"/>
      <c r="E1419" s="667"/>
      <c r="G1419" s="743"/>
      <c r="H1419" s="743"/>
      <c r="I1419" s="743"/>
      <c r="J1419" s="743"/>
      <c r="K1419" s="743"/>
      <c r="L1419" s="743"/>
      <c r="M1419" s="743"/>
      <c r="N1419" s="744"/>
      <c r="O1419" s="744"/>
      <c r="P1419" s="744"/>
    </row>
    <row r="1420" spans="4:16" s="13" customFormat="1" ht="20.25" customHeight="1">
      <c r="D1420" s="667"/>
      <c r="E1420" s="667"/>
      <c r="G1420" s="743"/>
      <c r="H1420" s="743"/>
      <c r="I1420" s="743"/>
      <c r="J1420" s="743"/>
      <c r="K1420" s="743"/>
      <c r="L1420" s="743"/>
      <c r="M1420" s="743"/>
      <c r="N1420" s="744"/>
      <c r="O1420" s="744"/>
      <c r="P1420" s="744"/>
    </row>
    <row r="1421" spans="4:16" s="13" customFormat="1" ht="20.25" customHeight="1">
      <c r="D1421" s="667"/>
      <c r="E1421" s="667"/>
      <c r="G1421" s="743"/>
      <c r="H1421" s="743"/>
      <c r="I1421" s="743"/>
      <c r="J1421" s="743"/>
      <c r="K1421" s="743"/>
      <c r="L1421" s="743"/>
      <c r="M1421" s="743"/>
      <c r="N1421" s="744"/>
      <c r="O1421" s="744"/>
      <c r="P1421" s="744"/>
    </row>
    <row r="1422" spans="4:16" s="13" customFormat="1" ht="20.25" customHeight="1">
      <c r="D1422" s="667"/>
      <c r="E1422" s="667"/>
      <c r="G1422" s="743"/>
      <c r="H1422" s="743"/>
      <c r="I1422" s="743"/>
      <c r="J1422" s="743"/>
      <c r="K1422" s="743"/>
      <c r="L1422" s="743"/>
      <c r="M1422" s="743"/>
      <c r="N1422" s="744"/>
      <c r="O1422" s="744"/>
      <c r="P1422" s="744"/>
    </row>
    <row r="1423" spans="4:16" s="13" customFormat="1" ht="20.25" customHeight="1">
      <c r="D1423" s="667"/>
      <c r="E1423" s="667"/>
      <c r="G1423" s="743"/>
      <c r="H1423" s="743"/>
      <c r="I1423" s="743"/>
      <c r="J1423" s="743"/>
      <c r="K1423" s="743"/>
      <c r="L1423" s="743"/>
      <c r="M1423" s="743"/>
      <c r="N1423" s="744"/>
      <c r="O1423" s="744"/>
      <c r="P1423" s="744"/>
    </row>
    <row r="1424" spans="4:16" s="13" customFormat="1" ht="20.25" customHeight="1">
      <c r="D1424" s="667"/>
      <c r="E1424" s="667"/>
      <c r="G1424" s="743"/>
      <c r="H1424" s="743"/>
      <c r="I1424" s="743"/>
      <c r="J1424" s="743"/>
      <c r="K1424" s="743"/>
      <c r="L1424" s="743"/>
      <c r="M1424" s="743"/>
      <c r="N1424" s="744"/>
      <c r="O1424" s="744"/>
      <c r="P1424" s="744"/>
    </row>
    <row r="1425" spans="4:16" s="13" customFormat="1" ht="20.25" customHeight="1">
      <c r="D1425" s="667"/>
      <c r="E1425" s="667"/>
      <c r="G1425" s="743"/>
      <c r="H1425" s="743"/>
      <c r="I1425" s="743"/>
      <c r="J1425" s="743"/>
      <c r="K1425" s="743"/>
      <c r="L1425" s="743"/>
      <c r="M1425" s="743"/>
      <c r="N1425" s="744"/>
      <c r="O1425" s="744"/>
      <c r="P1425" s="744"/>
    </row>
    <row r="1426" spans="4:16" s="13" customFormat="1" ht="20.25" customHeight="1">
      <c r="D1426" s="667"/>
      <c r="E1426" s="667"/>
      <c r="G1426" s="743"/>
      <c r="H1426" s="743"/>
      <c r="I1426" s="743"/>
      <c r="J1426" s="743"/>
      <c r="K1426" s="743"/>
      <c r="L1426" s="743"/>
      <c r="M1426" s="743"/>
      <c r="N1426" s="744"/>
      <c r="O1426" s="744"/>
      <c r="P1426" s="744"/>
    </row>
    <row r="1427" spans="4:16" s="13" customFormat="1" ht="20.25" customHeight="1">
      <c r="D1427" s="667"/>
      <c r="E1427" s="667"/>
      <c r="G1427" s="743"/>
      <c r="H1427" s="743"/>
      <c r="I1427" s="743"/>
      <c r="J1427" s="743"/>
      <c r="K1427" s="743"/>
      <c r="L1427" s="743"/>
      <c r="M1427" s="743"/>
      <c r="N1427" s="744"/>
      <c r="O1427" s="744"/>
      <c r="P1427" s="744"/>
    </row>
    <row r="1428" spans="4:16" s="13" customFormat="1" ht="20.25" customHeight="1">
      <c r="D1428" s="667"/>
      <c r="E1428" s="667"/>
      <c r="G1428" s="743"/>
      <c r="H1428" s="743"/>
      <c r="I1428" s="743"/>
      <c r="J1428" s="743"/>
      <c r="K1428" s="743"/>
      <c r="L1428" s="743"/>
      <c r="M1428" s="743"/>
      <c r="N1428" s="744"/>
      <c r="O1428" s="744"/>
      <c r="P1428" s="744"/>
    </row>
    <row r="1429" spans="4:16" s="13" customFormat="1" ht="20.25" customHeight="1">
      <c r="D1429" s="667"/>
      <c r="E1429" s="667"/>
      <c r="G1429" s="743"/>
      <c r="H1429" s="743"/>
      <c r="I1429" s="743"/>
      <c r="J1429" s="743"/>
      <c r="K1429" s="743"/>
      <c r="L1429" s="743"/>
      <c r="M1429" s="743"/>
      <c r="N1429" s="744"/>
      <c r="O1429" s="744"/>
      <c r="P1429" s="744"/>
    </row>
    <row r="1430" spans="4:16" s="13" customFormat="1" ht="20.25" customHeight="1">
      <c r="D1430" s="667"/>
      <c r="E1430" s="667"/>
      <c r="G1430" s="743"/>
      <c r="H1430" s="743"/>
      <c r="I1430" s="743"/>
      <c r="J1430" s="743"/>
      <c r="K1430" s="743"/>
      <c r="L1430" s="743"/>
      <c r="M1430" s="743"/>
      <c r="N1430" s="744"/>
      <c r="O1430" s="744"/>
      <c r="P1430" s="744"/>
    </row>
    <row r="1431" spans="4:16" s="13" customFormat="1" ht="20.25" customHeight="1">
      <c r="D1431" s="667"/>
      <c r="E1431" s="667"/>
      <c r="G1431" s="743"/>
      <c r="H1431" s="743"/>
      <c r="I1431" s="743"/>
      <c r="J1431" s="743"/>
      <c r="K1431" s="743"/>
      <c r="L1431" s="743"/>
      <c r="M1431" s="743"/>
      <c r="N1431" s="744"/>
      <c r="O1431" s="744"/>
      <c r="P1431" s="744"/>
    </row>
    <row r="1432" spans="4:16" s="13" customFormat="1" ht="20.25" customHeight="1">
      <c r="D1432" s="667"/>
      <c r="E1432" s="667"/>
      <c r="G1432" s="743"/>
      <c r="H1432" s="743"/>
      <c r="I1432" s="743"/>
      <c r="J1432" s="743"/>
      <c r="K1432" s="743"/>
      <c r="L1432" s="743"/>
      <c r="M1432" s="743"/>
      <c r="N1432" s="744"/>
      <c r="O1432" s="744"/>
      <c r="P1432" s="744"/>
    </row>
    <row r="1433" spans="4:16" s="13" customFormat="1" ht="20.25" customHeight="1">
      <c r="D1433" s="667"/>
      <c r="E1433" s="667"/>
      <c r="G1433" s="743"/>
      <c r="H1433" s="743"/>
      <c r="I1433" s="743"/>
      <c r="J1433" s="743"/>
      <c r="K1433" s="743"/>
      <c r="L1433" s="743"/>
      <c r="M1433" s="743"/>
      <c r="N1433" s="744"/>
      <c r="O1433" s="744"/>
      <c r="P1433" s="744"/>
    </row>
    <row r="1434" spans="4:16" s="13" customFormat="1" ht="20.25" customHeight="1">
      <c r="D1434" s="667"/>
      <c r="E1434" s="667"/>
      <c r="G1434" s="743"/>
      <c r="H1434" s="743"/>
      <c r="I1434" s="743"/>
      <c r="J1434" s="743"/>
      <c r="K1434" s="743"/>
      <c r="L1434" s="743"/>
      <c r="M1434" s="743"/>
      <c r="N1434" s="744"/>
      <c r="O1434" s="744"/>
      <c r="P1434" s="744"/>
    </row>
    <row r="1435" spans="4:16" s="13" customFormat="1" ht="20.25" customHeight="1">
      <c r="D1435" s="667"/>
      <c r="E1435" s="667"/>
      <c r="G1435" s="743"/>
      <c r="H1435" s="743"/>
      <c r="I1435" s="743"/>
      <c r="J1435" s="743"/>
      <c r="K1435" s="743"/>
      <c r="L1435" s="743"/>
      <c r="M1435" s="743"/>
      <c r="N1435" s="744"/>
      <c r="O1435" s="744"/>
      <c r="P1435" s="744"/>
    </row>
    <row r="1436" spans="4:16" s="13" customFormat="1" ht="20.25" customHeight="1">
      <c r="D1436" s="667"/>
      <c r="E1436" s="667"/>
      <c r="G1436" s="743"/>
      <c r="H1436" s="743"/>
      <c r="I1436" s="743"/>
      <c r="J1436" s="743"/>
      <c r="K1436" s="743"/>
      <c r="L1436" s="743"/>
      <c r="M1436" s="743"/>
      <c r="N1436" s="744"/>
      <c r="O1436" s="744"/>
      <c r="P1436" s="744"/>
    </row>
    <row r="1437" spans="4:16" s="13" customFormat="1" ht="20.25" customHeight="1">
      <c r="D1437" s="667"/>
      <c r="E1437" s="667"/>
      <c r="G1437" s="743"/>
      <c r="H1437" s="743"/>
      <c r="I1437" s="743"/>
      <c r="J1437" s="743"/>
      <c r="K1437" s="743"/>
      <c r="L1437" s="743"/>
      <c r="M1437" s="743"/>
      <c r="N1437" s="744"/>
      <c r="O1437" s="744"/>
      <c r="P1437" s="744"/>
    </row>
    <row r="1438" spans="4:16" s="13" customFormat="1" ht="20.25" customHeight="1">
      <c r="D1438" s="667"/>
      <c r="E1438" s="667"/>
      <c r="G1438" s="743"/>
      <c r="H1438" s="743"/>
      <c r="I1438" s="743"/>
      <c r="J1438" s="743"/>
      <c r="K1438" s="743"/>
      <c r="L1438" s="743"/>
      <c r="M1438" s="743"/>
      <c r="N1438" s="744"/>
      <c r="O1438" s="744"/>
      <c r="P1438" s="744"/>
    </row>
    <row r="1439" spans="4:16" s="13" customFormat="1" ht="20.25" customHeight="1">
      <c r="D1439" s="667"/>
      <c r="E1439" s="667"/>
      <c r="G1439" s="743"/>
      <c r="H1439" s="743"/>
      <c r="I1439" s="743"/>
      <c r="J1439" s="743"/>
      <c r="K1439" s="743"/>
      <c r="L1439" s="743"/>
      <c r="M1439" s="743"/>
      <c r="N1439" s="744"/>
      <c r="O1439" s="744"/>
      <c r="P1439" s="744"/>
    </row>
    <row r="1440" spans="4:16" s="13" customFormat="1" ht="20.25" customHeight="1">
      <c r="D1440" s="667"/>
      <c r="E1440" s="667"/>
      <c r="G1440" s="743"/>
      <c r="H1440" s="743"/>
      <c r="I1440" s="743"/>
      <c r="J1440" s="743"/>
      <c r="K1440" s="743"/>
      <c r="L1440" s="743"/>
      <c r="M1440" s="743"/>
      <c r="N1440" s="744"/>
      <c r="O1440" s="744"/>
      <c r="P1440" s="744"/>
    </row>
    <row r="1441" spans="4:16" s="13" customFormat="1" ht="20.25" customHeight="1">
      <c r="D1441" s="667"/>
      <c r="E1441" s="667"/>
      <c r="G1441" s="743"/>
      <c r="H1441" s="743"/>
      <c r="I1441" s="743"/>
      <c r="J1441" s="743"/>
      <c r="K1441" s="743"/>
      <c r="L1441" s="743"/>
      <c r="M1441" s="743"/>
      <c r="N1441" s="744"/>
      <c r="O1441" s="744"/>
      <c r="P1441" s="744"/>
    </row>
    <row r="1442" spans="4:16" s="13" customFormat="1" ht="20.25" customHeight="1">
      <c r="D1442" s="667"/>
      <c r="E1442" s="667"/>
      <c r="G1442" s="743"/>
      <c r="H1442" s="743"/>
      <c r="I1442" s="743"/>
      <c r="J1442" s="743"/>
      <c r="K1442" s="743"/>
      <c r="L1442" s="743"/>
      <c r="M1442" s="743"/>
      <c r="N1442" s="744"/>
      <c r="O1442" s="744"/>
      <c r="P1442" s="744"/>
    </row>
    <row r="1443" spans="4:16" s="13" customFormat="1" ht="20.25" customHeight="1">
      <c r="D1443" s="667"/>
      <c r="E1443" s="667"/>
      <c r="G1443" s="743"/>
      <c r="H1443" s="743"/>
      <c r="I1443" s="743"/>
      <c r="J1443" s="743"/>
      <c r="K1443" s="743"/>
      <c r="L1443" s="743"/>
      <c r="M1443" s="743"/>
      <c r="N1443" s="744"/>
      <c r="O1443" s="744"/>
      <c r="P1443" s="744"/>
    </row>
    <row r="1444" spans="4:16" s="13" customFormat="1" ht="20.25" customHeight="1">
      <c r="D1444" s="667"/>
      <c r="E1444" s="667"/>
      <c r="G1444" s="743"/>
      <c r="H1444" s="743"/>
      <c r="I1444" s="743"/>
      <c r="J1444" s="743"/>
      <c r="K1444" s="743"/>
      <c r="L1444" s="743"/>
      <c r="M1444" s="743"/>
      <c r="N1444" s="744"/>
      <c r="O1444" s="744"/>
      <c r="P1444" s="744"/>
    </row>
    <row r="1445" spans="4:16" s="13" customFormat="1" ht="20.25" customHeight="1">
      <c r="D1445" s="667"/>
      <c r="E1445" s="667"/>
      <c r="G1445" s="743"/>
      <c r="H1445" s="743"/>
      <c r="I1445" s="743"/>
      <c r="J1445" s="743"/>
      <c r="K1445" s="743"/>
      <c r="L1445" s="743"/>
      <c r="M1445" s="743"/>
      <c r="N1445" s="744"/>
      <c r="O1445" s="744"/>
      <c r="P1445" s="744"/>
    </row>
    <row r="1446" spans="4:16" s="13" customFormat="1" ht="20.25" customHeight="1">
      <c r="D1446" s="667"/>
      <c r="E1446" s="667"/>
      <c r="G1446" s="743"/>
      <c r="H1446" s="743"/>
      <c r="I1446" s="743"/>
      <c r="J1446" s="743"/>
      <c r="K1446" s="743"/>
      <c r="L1446" s="743"/>
      <c r="M1446" s="743"/>
      <c r="N1446" s="744"/>
      <c r="O1446" s="744"/>
      <c r="P1446" s="744"/>
    </row>
    <row r="1447" spans="4:16" s="13" customFormat="1" ht="20.25" customHeight="1">
      <c r="D1447" s="667"/>
      <c r="E1447" s="667"/>
      <c r="G1447" s="743"/>
      <c r="H1447" s="743"/>
      <c r="I1447" s="743"/>
      <c r="J1447" s="743"/>
      <c r="K1447" s="743"/>
      <c r="L1447" s="743"/>
      <c r="M1447" s="743"/>
      <c r="N1447" s="744"/>
      <c r="O1447" s="744"/>
      <c r="P1447" s="744"/>
    </row>
    <row r="1448" spans="4:16" s="13" customFormat="1" ht="20.25" customHeight="1">
      <c r="D1448" s="667"/>
      <c r="E1448" s="667"/>
      <c r="G1448" s="743"/>
      <c r="H1448" s="743"/>
      <c r="I1448" s="743"/>
      <c r="J1448" s="743"/>
      <c r="K1448" s="743"/>
      <c r="L1448" s="743"/>
      <c r="M1448" s="743"/>
      <c r="N1448" s="744"/>
      <c r="O1448" s="744"/>
      <c r="P1448" s="744"/>
    </row>
    <row r="1449" spans="4:16" s="13" customFormat="1" ht="20.25" customHeight="1">
      <c r="D1449" s="667"/>
      <c r="E1449" s="667"/>
      <c r="G1449" s="743"/>
      <c r="H1449" s="743"/>
      <c r="I1449" s="743"/>
      <c r="J1449" s="743"/>
      <c r="K1449" s="743"/>
      <c r="L1449" s="743"/>
      <c r="M1449" s="743"/>
      <c r="N1449" s="744"/>
      <c r="O1449" s="744"/>
      <c r="P1449" s="744"/>
    </row>
    <row r="1450" spans="4:16" s="13" customFormat="1" ht="20.25" customHeight="1">
      <c r="D1450" s="667"/>
      <c r="E1450" s="667"/>
      <c r="G1450" s="743"/>
      <c r="H1450" s="743"/>
      <c r="I1450" s="743"/>
      <c r="J1450" s="743"/>
      <c r="K1450" s="743"/>
      <c r="L1450" s="743"/>
      <c r="M1450" s="743"/>
      <c r="N1450" s="744"/>
      <c r="O1450" s="744"/>
      <c r="P1450" s="744"/>
    </row>
    <row r="1451" spans="4:16" s="13" customFormat="1" ht="20.25" customHeight="1">
      <c r="D1451" s="667"/>
      <c r="E1451" s="667"/>
      <c r="G1451" s="743"/>
      <c r="H1451" s="743"/>
      <c r="I1451" s="743"/>
      <c r="J1451" s="743"/>
      <c r="K1451" s="743"/>
      <c r="L1451" s="743"/>
      <c r="M1451" s="743"/>
      <c r="N1451" s="744"/>
      <c r="O1451" s="744"/>
      <c r="P1451" s="744"/>
    </row>
    <row r="1452" spans="4:16" s="13" customFormat="1" ht="20.25" customHeight="1">
      <c r="D1452" s="667"/>
      <c r="E1452" s="667"/>
      <c r="G1452" s="743"/>
      <c r="H1452" s="743"/>
      <c r="I1452" s="743"/>
      <c r="J1452" s="743"/>
      <c r="K1452" s="743"/>
      <c r="L1452" s="743"/>
      <c r="M1452" s="743"/>
      <c r="N1452" s="744"/>
      <c r="O1452" s="744"/>
      <c r="P1452" s="744"/>
    </row>
    <row r="1453" spans="4:16" s="13" customFormat="1" ht="20.25" customHeight="1">
      <c r="D1453" s="667"/>
      <c r="E1453" s="667"/>
      <c r="G1453" s="743"/>
      <c r="H1453" s="743"/>
      <c r="I1453" s="743"/>
      <c r="J1453" s="743"/>
      <c r="K1453" s="743"/>
      <c r="L1453" s="743"/>
      <c r="M1453" s="743"/>
      <c r="N1453" s="744"/>
      <c r="O1453" s="744"/>
      <c r="P1453" s="744"/>
    </row>
    <row r="1454" spans="4:16" s="13" customFormat="1" ht="20.25" customHeight="1">
      <c r="D1454" s="667"/>
      <c r="E1454" s="667"/>
      <c r="G1454" s="743"/>
      <c r="H1454" s="743"/>
      <c r="I1454" s="743"/>
      <c r="J1454" s="743"/>
      <c r="K1454" s="743"/>
      <c r="L1454" s="743"/>
      <c r="M1454" s="743"/>
      <c r="N1454" s="744"/>
      <c r="O1454" s="744"/>
      <c r="P1454" s="744"/>
    </row>
    <row r="1455" spans="4:16" s="13" customFormat="1" ht="20.25" customHeight="1">
      <c r="D1455" s="667"/>
      <c r="E1455" s="667"/>
      <c r="G1455" s="743"/>
      <c r="H1455" s="743"/>
      <c r="I1455" s="743"/>
      <c r="J1455" s="743"/>
      <c r="K1455" s="743"/>
      <c r="L1455" s="743"/>
      <c r="M1455" s="743"/>
      <c r="N1455" s="744"/>
      <c r="O1455" s="744"/>
      <c r="P1455" s="744"/>
    </row>
    <row r="1456" spans="4:16" s="13" customFormat="1" ht="20.25" customHeight="1">
      <c r="D1456" s="667"/>
      <c r="E1456" s="667"/>
      <c r="G1456" s="743"/>
      <c r="H1456" s="743"/>
      <c r="I1456" s="743"/>
      <c r="J1456" s="743"/>
      <c r="K1456" s="743"/>
      <c r="L1456" s="743"/>
      <c r="M1456" s="743"/>
      <c r="N1456" s="744"/>
      <c r="O1456" s="744"/>
      <c r="P1456" s="744"/>
    </row>
    <row r="1457" spans="4:16" s="13" customFormat="1" ht="20.25" customHeight="1">
      <c r="D1457" s="667"/>
      <c r="E1457" s="667"/>
      <c r="G1457" s="743"/>
      <c r="H1457" s="743"/>
      <c r="I1457" s="743"/>
      <c r="J1457" s="743"/>
      <c r="K1457" s="743"/>
      <c r="L1457" s="743"/>
      <c r="M1457" s="743"/>
      <c r="N1457" s="744"/>
      <c r="O1457" s="744"/>
      <c r="P1457" s="744"/>
    </row>
    <row r="1458" spans="4:16" s="13" customFormat="1" ht="20.25" customHeight="1">
      <c r="D1458" s="667"/>
      <c r="E1458" s="667"/>
      <c r="G1458" s="743"/>
      <c r="H1458" s="743"/>
      <c r="I1458" s="743"/>
      <c r="J1458" s="743"/>
      <c r="K1458" s="743"/>
      <c r="L1458" s="743"/>
      <c r="M1458" s="743"/>
      <c r="N1458" s="744"/>
      <c r="O1458" s="744"/>
      <c r="P1458" s="744"/>
    </row>
    <row r="1459" spans="4:16" s="13" customFormat="1" ht="20.25" customHeight="1">
      <c r="D1459" s="667"/>
      <c r="E1459" s="667"/>
      <c r="G1459" s="743"/>
      <c r="H1459" s="743"/>
      <c r="I1459" s="743"/>
      <c r="J1459" s="743"/>
      <c r="K1459" s="743"/>
      <c r="L1459" s="743"/>
      <c r="M1459" s="743"/>
      <c r="N1459" s="744"/>
      <c r="O1459" s="744"/>
      <c r="P1459" s="744"/>
    </row>
    <row r="1460" spans="4:16" s="13" customFormat="1" ht="20.25" customHeight="1">
      <c r="D1460" s="667"/>
      <c r="E1460" s="667"/>
      <c r="G1460" s="743"/>
      <c r="H1460" s="743"/>
      <c r="I1460" s="743"/>
      <c r="J1460" s="743"/>
      <c r="K1460" s="743"/>
      <c r="L1460" s="743"/>
      <c r="M1460" s="743"/>
      <c r="N1460" s="744"/>
      <c r="O1460" s="744"/>
      <c r="P1460" s="744"/>
    </row>
    <row r="1461" spans="4:16" s="13" customFormat="1" ht="20.25" customHeight="1">
      <c r="D1461" s="667"/>
      <c r="E1461" s="667"/>
      <c r="G1461" s="743"/>
      <c r="H1461" s="743"/>
      <c r="I1461" s="743"/>
      <c r="J1461" s="743"/>
      <c r="K1461" s="743"/>
      <c r="L1461" s="743"/>
      <c r="M1461" s="743"/>
      <c r="N1461" s="744"/>
      <c r="O1461" s="744"/>
      <c r="P1461" s="744"/>
    </row>
    <row r="1462" spans="4:16" s="13" customFormat="1" ht="20.25" customHeight="1">
      <c r="D1462" s="667"/>
      <c r="E1462" s="667"/>
      <c r="G1462" s="743"/>
      <c r="H1462" s="743"/>
      <c r="I1462" s="743"/>
      <c r="J1462" s="743"/>
      <c r="K1462" s="743"/>
      <c r="L1462" s="743"/>
      <c r="M1462" s="743"/>
      <c r="N1462" s="744"/>
      <c r="O1462" s="744"/>
      <c r="P1462" s="744"/>
    </row>
    <row r="1463" spans="4:16" s="13" customFormat="1" ht="20.25" customHeight="1">
      <c r="D1463" s="667"/>
      <c r="E1463" s="667"/>
      <c r="G1463" s="743"/>
      <c r="H1463" s="743"/>
      <c r="I1463" s="743"/>
      <c r="J1463" s="743"/>
      <c r="K1463" s="743"/>
      <c r="L1463" s="743"/>
      <c r="M1463" s="743"/>
      <c r="N1463" s="744"/>
      <c r="O1463" s="744"/>
      <c r="P1463" s="744"/>
    </row>
    <row r="1464" spans="4:16" s="13" customFormat="1" ht="20.25" customHeight="1">
      <c r="D1464" s="667"/>
      <c r="E1464" s="667"/>
      <c r="G1464" s="743"/>
      <c r="H1464" s="743"/>
      <c r="I1464" s="743"/>
      <c r="J1464" s="743"/>
      <c r="K1464" s="743"/>
      <c r="L1464" s="743"/>
      <c r="M1464" s="743"/>
      <c r="N1464" s="744"/>
      <c r="O1464" s="744"/>
      <c r="P1464" s="744"/>
    </row>
    <row r="1465" spans="4:16" s="13" customFormat="1" ht="20.25" customHeight="1">
      <c r="D1465" s="667"/>
      <c r="E1465" s="667"/>
      <c r="G1465" s="743"/>
      <c r="H1465" s="743"/>
      <c r="I1465" s="743"/>
      <c r="J1465" s="743"/>
      <c r="K1465" s="743"/>
      <c r="L1465" s="743"/>
      <c r="M1465" s="743"/>
      <c r="N1465" s="744"/>
      <c r="O1465" s="744"/>
      <c r="P1465" s="744"/>
    </row>
    <row r="1466" spans="4:16" s="13" customFormat="1" ht="20.25" customHeight="1">
      <c r="D1466" s="667"/>
      <c r="E1466" s="667"/>
      <c r="G1466" s="743"/>
      <c r="H1466" s="743"/>
      <c r="I1466" s="743"/>
      <c r="J1466" s="743"/>
      <c r="K1466" s="743"/>
      <c r="L1466" s="743"/>
      <c r="M1466" s="743"/>
      <c r="N1466" s="744"/>
      <c r="O1466" s="744"/>
      <c r="P1466" s="744"/>
    </row>
    <row r="1467" spans="4:16" s="13" customFormat="1" ht="20.25" customHeight="1">
      <c r="D1467" s="667"/>
      <c r="E1467" s="667"/>
      <c r="G1467" s="743"/>
      <c r="H1467" s="743"/>
      <c r="I1467" s="743"/>
      <c r="J1467" s="743"/>
      <c r="K1467" s="743"/>
      <c r="L1467" s="743"/>
      <c r="M1467" s="743"/>
      <c r="N1467" s="744"/>
      <c r="O1467" s="744"/>
      <c r="P1467" s="744"/>
    </row>
    <row r="1468" spans="4:16" s="13" customFormat="1" ht="20.25" customHeight="1">
      <c r="D1468" s="667"/>
      <c r="E1468" s="667"/>
      <c r="G1468" s="743"/>
      <c r="H1468" s="743"/>
      <c r="I1468" s="743"/>
      <c r="J1468" s="743"/>
      <c r="K1468" s="743"/>
      <c r="L1468" s="743"/>
      <c r="M1468" s="743"/>
      <c r="N1468" s="744"/>
      <c r="O1468" s="744"/>
      <c r="P1468" s="744"/>
    </row>
    <row r="1469" spans="4:16" s="13" customFormat="1" ht="20.25" customHeight="1">
      <c r="D1469" s="667"/>
      <c r="E1469" s="667"/>
      <c r="G1469" s="743"/>
      <c r="H1469" s="743"/>
      <c r="I1469" s="743"/>
      <c r="J1469" s="743"/>
      <c r="K1469" s="743"/>
      <c r="L1469" s="743"/>
      <c r="M1469" s="743"/>
      <c r="N1469" s="744"/>
      <c r="O1469" s="744"/>
      <c r="P1469" s="744"/>
    </row>
    <row r="1470" spans="4:16" s="13" customFormat="1" ht="20.25" customHeight="1">
      <c r="D1470" s="667"/>
      <c r="E1470" s="667"/>
      <c r="G1470" s="743"/>
      <c r="H1470" s="743"/>
      <c r="I1470" s="743"/>
      <c r="J1470" s="743"/>
      <c r="K1470" s="743"/>
      <c r="L1470" s="743"/>
      <c r="M1470" s="743"/>
      <c r="N1470" s="744"/>
      <c r="O1470" s="744"/>
      <c r="P1470" s="744"/>
    </row>
    <row r="1471" spans="4:16" s="13" customFormat="1" ht="20.25" customHeight="1">
      <c r="D1471" s="667"/>
      <c r="E1471" s="667"/>
      <c r="G1471" s="743"/>
      <c r="H1471" s="743"/>
      <c r="I1471" s="743"/>
      <c r="J1471" s="743"/>
      <c r="K1471" s="743"/>
      <c r="L1471" s="743"/>
      <c r="M1471" s="743"/>
      <c r="N1471" s="744"/>
      <c r="O1471" s="744"/>
      <c r="P1471" s="744"/>
    </row>
    <row r="1472" spans="4:16" s="13" customFormat="1" ht="20.25" customHeight="1">
      <c r="D1472" s="667"/>
      <c r="E1472" s="667"/>
      <c r="G1472" s="743"/>
      <c r="H1472" s="743"/>
      <c r="I1472" s="743"/>
      <c r="J1472" s="743"/>
      <c r="K1472" s="743"/>
      <c r="L1472" s="743"/>
      <c r="M1472" s="743"/>
      <c r="N1472" s="744"/>
      <c r="O1472" s="744"/>
      <c r="P1472" s="744"/>
    </row>
    <row r="1473" spans="4:16" s="13" customFormat="1" ht="20.25" customHeight="1">
      <c r="D1473" s="667"/>
      <c r="E1473" s="667"/>
      <c r="G1473" s="743"/>
      <c r="H1473" s="743"/>
      <c r="I1473" s="743"/>
      <c r="J1473" s="743"/>
      <c r="K1473" s="743"/>
      <c r="L1473" s="743"/>
      <c r="M1473" s="743"/>
      <c r="N1473" s="744"/>
      <c r="O1473" s="744"/>
      <c r="P1473" s="744"/>
    </row>
    <row r="1474" spans="4:16" s="13" customFormat="1" ht="20.25" customHeight="1">
      <c r="D1474" s="667"/>
      <c r="E1474" s="667"/>
      <c r="G1474" s="743"/>
      <c r="H1474" s="743"/>
      <c r="I1474" s="743"/>
      <c r="J1474" s="743"/>
      <c r="K1474" s="743"/>
      <c r="L1474" s="743"/>
      <c r="M1474" s="743"/>
      <c r="N1474" s="744"/>
      <c r="O1474" s="744"/>
      <c r="P1474" s="744"/>
    </row>
    <row r="1475" spans="4:16" s="13" customFormat="1" ht="20.25" customHeight="1">
      <c r="D1475" s="667"/>
      <c r="E1475" s="667"/>
      <c r="G1475" s="743"/>
      <c r="H1475" s="743"/>
      <c r="I1475" s="743"/>
      <c r="J1475" s="743"/>
      <c r="K1475" s="743"/>
      <c r="L1475" s="743"/>
      <c r="M1475" s="743"/>
      <c r="N1475" s="744"/>
      <c r="O1475" s="744"/>
      <c r="P1475" s="744"/>
    </row>
    <row r="1476" spans="4:16" s="13" customFormat="1" ht="20.25" customHeight="1">
      <c r="D1476" s="667"/>
      <c r="E1476" s="667"/>
      <c r="G1476" s="743"/>
      <c r="H1476" s="743"/>
      <c r="I1476" s="743"/>
      <c r="J1476" s="743"/>
      <c r="K1476" s="743"/>
      <c r="L1476" s="743"/>
      <c r="M1476" s="743"/>
      <c r="N1476" s="744"/>
      <c r="O1476" s="744"/>
      <c r="P1476" s="744"/>
    </row>
    <row r="1477" spans="4:16" s="13" customFormat="1" ht="20.25" customHeight="1">
      <c r="D1477" s="667"/>
      <c r="E1477" s="667"/>
      <c r="G1477" s="743"/>
      <c r="H1477" s="743"/>
      <c r="I1477" s="743"/>
      <c r="J1477" s="743"/>
      <c r="K1477" s="743"/>
      <c r="L1477" s="743"/>
      <c r="M1477" s="743"/>
      <c r="N1477" s="744"/>
      <c r="O1477" s="744"/>
      <c r="P1477" s="744"/>
    </row>
    <row r="1478" spans="4:16" s="13" customFormat="1" ht="20.25" customHeight="1">
      <c r="D1478" s="667"/>
      <c r="E1478" s="667"/>
      <c r="G1478" s="743"/>
      <c r="H1478" s="743"/>
      <c r="I1478" s="743"/>
      <c r="J1478" s="743"/>
      <c r="K1478" s="743"/>
      <c r="L1478" s="743"/>
      <c r="M1478" s="743"/>
      <c r="N1478" s="744"/>
      <c r="O1478" s="744"/>
      <c r="P1478" s="744"/>
    </row>
    <row r="1479" spans="4:16" s="13" customFormat="1" ht="20.25" customHeight="1">
      <c r="D1479" s="667"/>
      <c r="E1479" s="667"/>
      <c r="G1479" s="743"/>
      <c r="H1479" s="743"/>
      <c r="I1479" s="743"/>
      <c r="J1479" s="743"/>
      <c r="K1479" s="743"/>
      <c r="L1479" s="743"/>
      <c r="M1479" s="743"/>
      <c r="N1479" s="744"/>
      <c r="O1479" s="744"/>
      <c r="P1479" s="744"/>
    </row>
    <row r="1480" spans="4:16" s="13" customFormat="1" ht="20.25" customHeight="1">
      <c r="D1480" s="667"/>
      <c r="E1480" s="667"/>
      <c r="G1480" s="743"/>
      <c r="H1480" s="743"/>
      <c r="I1480" s="743"/>
      <c r="J1480" s="743"/>
      <c r="K1480" s="743"/>
      <c r="L1480" s="743"/>
      <c r="M1480" s="743"/>
      <c r="N1480" s="744"/>
      <c r="O1480" s="744"/>
      <c r="P1480" s="744"/>
    </row>
    <row r="1481" spans="4:16" s="13" customFormat="1" ht="20.25" customHeight="1">
      <c r="D1481" s="667"/>
      <c r="E1481" s="667"/>
      <c r="G1481" s="743"/>
      <c r="H1481" s="743"/>
      <c r="I1481" s="743"/>
      <c r="J1481" s="743"/>
      <c r="K1481" s="743"/>
      <c r="L1481" s="743"/>
      <c r="M1481" s="743"/>
      <c r="N1481" s="744"/>
      <c r="O1481" s="744"/>
      <c r="P1481" s="744"/>
    </row>
    <row r="1482" spans="4:16" s="13" customFormat="1" ht="20.25" customHeight="1">
      <c r="D1482" s="667"/>
      <c r="E1482" s="667"/>
      <c r="G1482" s="743"/>
      <c r="H1482" s="743"/>
      <c r="I1482" s="743"/>
      <c r="J1482" s="743"/>
      <c r="K1482" s="743"/>
      <c r="L1482" s="743"/>
      <c r="M1482" s="743"/>
      <c r="N1482" s="744"/>
      <c r="O1482" s="744"/>
      <c r="P1482" s="744"/>
    </row>
    <row r="1483" spans="4:16" s="13" customFormat="1" ht="20.25" customHeight="1">
      <c r="D1483" s="667"/>
      <c r="E1483" s="667"/>
      <c r="G1483" s="743"/>
      <c r="H1483" s="743"/>
      <c r="I1483" s="743"/>
      <c r="J1483" s="743"/>
      <c r="K1483" s="743"/>
      <c r="L1483" s="743"/>
      <c r="M1483" s="743"/>
      <c r="N1483" s="744"/>
      <c r="O1483" s="744"/>
      <c r="P1483" s="744"/>
    </row>
    <row r="1484" spans="4:16" s="13" customFormat="1" ht="20.25" customHeight="1">
      <c r="D1484" s="667"/>
      <c r="E1484" s="667"/>
      <c r="G1484" s="743"/>
      <c r="H1484" s="743"/>
      <c r="I1484" s="743"/>
      <c r="J1484" s="743"/>
      <c r="K1484" s="743"/>
      <c r="L1484" s="743"/>
      <c r="M1484" s="743"/>
      <c r="N1484" s="744"/>
      <c r="O1484" s="744"/>
      <c r="P1484" s="744"/>
    </row>
    <row r="1485" spans="4:16" s="13" customFormat="1" ht="20.25" customHeight="1">
      <c r="D1485" s="667"/>
      <c r="E1485" s="667"/>
      <c r="G1485" s="743"/>
      <c r="H1485" s="743"/>
      <c r="I1485" s="743"/>
      <c r="J1485" s="743"/>
      <c r="K1485" s="743"/>
      <c r="L1485" s="743"/>
      <c r="M1485" s="743"/>
      <c r="N1485" s="744"/>
      <c r="O1485" s="744"/>
      <c r="P1485" s="744"/>
    </row>
    <row r="1486" spans="4:16" s="13" customFormat="1" ht="20.25" customHeight="1">
      <c r="D1486" s="667"/>
      <c r="E1486" s="667"/>
      <c r="G1486" s="743"/>
      <c r="H1486" s="743"/>
      <c r="I1486" s="743"/>
      <c r="J1486" s="743"/>
      <c r="K1486" s="743"/>
      <c r="L1486" s="743"/>
      <c r="M1486" s="743"/>
      <c r="N1486" s="744"/>
      <c r="O1486" s="744"/>
      <c r="P1486" s="744"/>
    </row>
    <row r="1487" spans="4:16" s="13" customFormat="1" ht="20.25" customHeight="1">
      <c r="D1487" s="667"/>
      <c r="E1487" s="667"/>
      <c r="G1487" s="743"/>
      <c r="H1487" s="743"/>
      <c r="I1487" s="743"/>
      <c r="J1487" s="743"/>
      <c r="K1487" s="743"/>
      <c r="L1487" s="743"/>
      <c r="M1487" s="743"/>
      <c r="N1487" s="744"/>
      <c r="O1487" s="744"/>
      <c r="P1487" s="744"/>
    </row>
    <row r="1488" spans="4:16" s="13" customFormat="1" ht="20.25" customHeight="1">
      <c r="D1488" s="667"/>
      <c r="E1488" s="667"/>
      <c r="G1488" s="743"/>
      <c r="H1488" s="743"/>
      <c r="I1488" s="743"/>
      <c r="J1488" s="743"/>
      <c r="K1488" s="743"/>
      <c r="L1488" s="743"/>
      <c r="M1488" s="743"/>
      <c r="N1488" s="744"/>
      <c r="O1488" s="744"/>
      <c r="P1488" s="744"/>
    </row>
    <row r="1489" spans="4:16" s="13" customFormat="1" ht="20.25" customHeight="1">
      <c r="D1489" s="667"/>
      <c r="E1489" s="667"/>
      <c r="G1489" s="743"/>
      <c r="H1489" s="743"/>
      <c r="I1489" s="743"/>
      <c r="J1489" s="743"/>
      <c r="K1489" s="743"/>
      <c r="L1489" s="743"/>
      <c r="M1489" s="743"/>
      <c r="N1489" s="744"/>
      <c r="O1489" s="744"/>
      <c r="P1489" s="744"/>
    </row>
    <row r="1490" spans="4:16" s="13" customFormat="1" ht="20.25" customHeight="1">
      <c r="D1490" s="667"/>
      <c r="E1490" s="667"/>
      <c r="G1490" s="743"/>
      <c r="H1490" s="743"/>
      <c r="I1490" s="743"/>
      <c r="J1490" s="743"/>
      <c r="K1490" s="743"/>
      <c r="L1490" s="743"/>
      <c r="M1490" s="743"/>
      <c r="N1490" s="744"/>
      <c r="O1490" s="744"/>
      <c r="P1490" s="744"/>
    </row>
    <row r="1491" spans="4:16" s="13" customFormat="1" ht="20.25" customHeight="1">
      <c r="D1491" s="667"/>
      <c r="E1491" s="667"/>
      <c r="G1491" s="743"/>
      <c r="H1491" s="743"/>
      <c r="I1491" s="743"/>
      <c r="J1491" s="743"/>
      <c r="K1491" s="743"/>
      <c r="L1491" s="743"/>
      <c r="M1491" s="743"/>
      <c r="N1491" s="744"/>
      <c r="O1491" s="744"/>
      <c r="P1491" s="744"/>
    </row>
    <row r="1492" spans="4:16" s="13" customFormat="1" ht="20.25" customHeight="1">
      <c r="D1492" s="667"/>
      <c r="E1492" s="667"/>
      <c r="G1492" s="743"/>
      <c r="H1492" s="743"/>
      <c r="I1492" s="743"/>
      <c r="J1492" s="743"/>
      <c r="K1492" s="743"/>
      <c r="L1492" s="743"/>
      <c r="M1492" s="743"/>
      <c r="N1492" s="744"/>
      <c r="O1492" s="744"/>
      <c r="P1492" s="744"/>
    </row>
    <row r="1493" spans="4:16" s="13" customFormat="1" ht="20.25" customHeight="1">
      <c r="D1493" s="667"/>
      <c r="E1493" s="667"/>
      <c r="G1493" s="743"/>
      <c r="H1493" s="743"/>
      <c r="I1493" s="743"/>
      <c r="J1493" s="743"/>
      <c r="K1493" s="743"/>
      <c r="L1493" s="743"/>
      <c r="M1493" s="743"/>
      <c r="N1493" s="744"/>
      <c r="O1493" s="744"/>
      <c r="P1493" s="744"/>
    </row>
    <row r="1494" spans="4:16" s="13" customFormat="1" ht="20.25" customHeight="1">
      <c r="D1494" s="667"/>
      <c r="E1494" s="667"/>
      <c r="G1494" s="743"/>
      <c r="H1494" s="743"/>
      <c r="I1494" s="743"/>
      <c r="J1494" s="743"/>
      <c r="K1494" s="743"/>
      <c r="L1494" s="743"/>
      <c r="M1494" s="743"/>
      <c r="N1494" s="744"/>
      <c r="O1494" s="744"/>
      <c r="P1494" s="744"/>
    </row>
    <row r="1495" spans="4:16" s="13" customFormat="1" ht="20.25" customHeight="1">
      <c r="D1495" s="667"/>
      <c r="E1495" s="667"/>
      <c r="G1495" s="743"/>
      <c r="H1495" s="743"/>
      <c r="I1495" s="743"/>
      <c r="J1495" s="743"/>
      <c r="K1495" s="743"/>
      <c r="L1495" s="743"/>
      <c r="M1495" s="743"/>
      <c r="N1495" s="744"/>
      <c r="O1495" s="744"/>
      <c r="P1495" s="744"/>
    </row>
    <row r="1496" spans="4:16" s="13" customFormat="1" ht="20.25" customHeight="1">
      <c r="D1496" s="667"/>
      <c r="E1496" s="667"/>
      <c r="G1496" s="743"/>
      <c r="H1496" s="743"/>
      <c r="I1496" s="743"/>
      <c r="J1496" s="743"/>
      <c r="K1496" s="743"/>
      <c r="L1496" s="743"/>
      <c r="M1496" s="743"/>
      <c r="N1496" s="744"/>
      <c r="O1496" s="744"/>
      <c r="P1496" s="744"/>
    </row>
    <row r="1497" spans="4:16" s="13" customFormat="1" ht="20.25" customHeight="1">
      <c r="D1497" s="667"/>
      <c r="E1497" s="667"/>
      <c r="G1497" s="743"/>
      <c r="H1497" s="743"/>
      <c r="I1497" s="743"/>
      <c r="J1497" s="743"/>
      <c r="K1497" s="743"/>
      <c r="L1497" s="743"/>
      <c r="M1497" s="743"/>
      <c r="N1497" s="744"/>
      <c r="O1497" s="744"/>
      <c r="P1497" s="744"/>
    </row>
    <row r="1498" spans="4:16" s="13" customFormat="1" ht="20.25" customHeight="1">
      <c r="D1498" s="667"/>
      <c r="E1498" s="667"/>
      <c r="G1498" s="743"/>
      <c r="H1498" s="743"/>
      <c r="I1498" s="743"/>
      <c r="J1498" s="743"/>
      <c r="K1498" s="743"/>
      <c r="L1498" s="743"/>
      <c r="M1498" s="743"/>
      <c r="N1498" s="744"/>
      <c r="O1498" s="744"/>
      <c r="P1498" s="744"/>
    </row>
    <row r="1499" spans="4:16" s="13" customFormat="1" ht="20.25" customHeight="1">
      <c r="D1499" s="667"/>
      <c r="E1499" s="667"/>
      <c r="G1499" s="743"/>
      <c r="H1499" s="743"/>
      <c r="I1499" s="743"/>
      <c r="J1499" s="743"/>
      <c r="K1499" s="743"/>
      <c r="L1499" s="743"/>
      <c r="M1499" s="743"/>
      <c r="N1499" s="744"/>
      <c r="O1499" s="744"/>
      <c r="P1499" s="744"/>
    </row>
    <row r="1500" spans="4:16" s="13" customFormat="1" ht="20.25" customHeight="1">
      <c r="D1500" s="667"/>
      <c r="E1500" s="667"/>
      <c r="G1500" s="743"/>
      <c r="H1500" s="743"/>
      <c r="I1500" s="743"/>
      <c r="J1500" s="743"/>
      <c r="K1500" s="743"/>
      <c r="L1500" s="743"/>
      <c r="M1500" s="743"/>
      <c r="N1500" s="744"/>
      <c r="O1500" s="744"/>
      <c r="P1500" s="744"/>
    </row>
    <row r="1501" spans="4:16" s="13" customFormat="1" ht="20.25" customHeight="1">
      <c r="D1501" s="667"/>
      <c r="E1501" s="667"/>
      <c r="G1501" s="743"/>
      <c r="H1501" s="743"/>
      <c r="I1501" s="743"/>
      <c r="J1501" s="743"/>
      <c r="K1501" s="743"/>
      <c r="L1501" s="743"/>
      <c r="M1501" s="743"/>
      <c r="N1501" s="744"/>
      <c r="O1501" s="744"/>
      <c r="P1501" s="744"/>
    </row>
    <row r="1502" spans="4:16" s="13" customFormat="1" ht="20.25" customHeight="1">
      <c r="D1502" s="667"/>
      <c r="E1502" s="667"/>
      <c r="G1502" s="743"/>
      <c r="H1502" s="743"/>
      <c r="I1502" s="743"/>
      <c r="J1502" s="743"/>
      <c r="K1502" s="743"/>
      <c r="L1502" s="743"/>
      <c r="M1502" s="743"/>
      <c r="N1502" s="744"/>
      <c r="O1502" s="744"/>
      <c r="P1502" s="744"/>
    </row>
    <row r="1503" spans="4:16" s="13" customFormat="1" ht="20.25" customHeight="1">
      <c r="D1503" s="667"/>
      <c r="E1503" s="667"/>
      <c r="G1503" s="743"/>
      <c r="H1503" s="743"/>
      <c r="I1503" s="743"/>
      <c r="J1503" s="743"/>
      <c r="K1503" s="743"/>
      <c r="L1503" s="743"/>
      <c r="M1503" s="743"/>
      <c r="N1503" s="744"/>
      <c r="O1503" s="744"/>
      <c r="P1503" s="744"/>
    </row>
    <row r="1504" spans="4:16" s="13" customFormat="1" ht="20.25" customHeight="1">
      <c r="D1504" s="667"/>
      <c r="E1504" s="667"/>
      <c r="G1504" s="743"/>
      <c r="H1504" s="743"/>
      <c r="I1504" s="743"/>
      <c r="J1504" s="743"/>
      <c r="K1504" s="743"/>
      <c r="L1504" s="743"/>
      <c r="M1504" s="743"/>
      <c r="N1504" s="744"/>
      <c r="O1504" s="744"/>
      <c r="P1504" s="744"/>
    </row>
    <row r="1505" spans="4:16" s="13" customFormat="1" ht="20.25" customHeight="1">
      <c r="D1505" s="667"/>
      <c r="E1505" s="667"/>
      <c r="G1505" s="743"/>
      <c r="H1505" s="743"/>
      <c r="I1505" s="743"/>
      <c r="J1505" s="743"/>
      <c r="K1505" s="743"/>
      <c r="L1505" s="743"/>
      <c r="M1505" s="743"/>
      <c r="N1505" s="744"/>
      <c r="O1505" s="744"/>
      <c r="P1505" s="744"/>
    </row>
    <row r="1506" spans="4:16" s="13" customFormat="1" ht="20.25" customHeight="1">
      <c r="D1506" s="667"/>
      <c r="E1506" s="667"/>
      <c r="G1506" s="743"/>
      <c r="H1506" s="743"/>
      <c r="I1506" s="743"/>
      <c r="J1506" s="743"/>
      <c r="K1506" s="743"/>
      <c r="L1506" s="743"/>
      <c r="M1506" s="743"/>
      <c r="N1506" s="744"/>
      <c r="O1506" s="744"/>
      <c r="P1506" s="744"/>
    </row>
    <row r="1507" spans="4:16" s="13" customFormat="1" ht="20.25" customHeight="1">
      <c r="D1507" s="667"/>
      <c r="E1507" s="667"/>
      <c r="G1507" s="743"/>
      <c r="H1507" s="743"/>
      <c r="I1507" s="743"/>
      <c r="J1507" s="743"/>
      <c r="K1507" s="743"/>
      <c r="L1507" s="743"/>
      <c r="M1507" s="743"/>
      <c r="N1507" s="744"/>
      <c r="O1507" s="744"/>
      <c r="P1507" s="744"/>
    </row>
    <row r="1508" spans="4:16" s="13" customFormat="1" ht="20.25" customHeight="1">
      <c r="D1508" s="667"/>
      <c r="E1508" s="667"/>
      <c r="G1508" s="743"/>
      <c r="H1508" s="743"/>
      <c r="I1508" s="743"/>
      <c r="J1508" s="743"/>
      <c r="K1508" s="743"/>
      <c r="L1508" s="743"/>
      <c r="M1508" s="743"/>
      <c r="N1508" s="744"/>
      <c r="O1508" s="744"/>
      <c r="P1508" s="744"/>
    </row>
    <row r="1509" spans="4:16" s="13" customFormat="1" ht="20.25" customHeight="1">
      <c r="D1509" s="667"/>
      <c r="E1509" s="667"/>
      <c r="G1509" s="743"/>
      <c r="H1509" s="743"/>
      <c r="I1509" s="743"/>
      <c r="J1509" s="743"/>
      <c r="K1509" s="743"/>
      <c r="L1509" s="743"/>
      <c r="M1509" s="743"/>
      <c r="N1509" s="744"/>
      <c r="O1509" s="744"/>
      <c r="P1509" s="744"/>
    </row>
    <row r="1510" spans="4:16" s="13" customFormat="1" ht="20.25" customHeight="1">
      <c r="D1510" s="667"/>
      <c r="E1510" s="667"/>
      <c r="G1510" s="743"/>
      <c r="H1510" s="743"/>
      <c r="I1510" s="743"/>
      <c r="J1510" s="743"/>
      <c r="K1510" s="743"/>
      <c r="L1510" s="743"/>
      <c r="M1510" s="743"/>
      <c r="N1510" s="744"/>
      <c r="O1510" s="744"/>
      <c r="P1510" s="744"/>
    </row>
    <row r="1511" spans="4:16" s="13" customFormat="1" ht="20.25" customHeight="1">
      <c r="D1511" s="667"/>
      <c r="E1511" s="667"/>
      <c r="G1511" s="743"/>
      <c r="H1511" s="743"/>
      <c r="I1511" s="743"/>
      <c r="J1511" s="743"/>
      <c r="K1511" s="743"/>
      <c r="L1511" s="743"/>
      <c r="M1511" s="743"/>
      <c r="N1511" s="744"/>
      <c r="O1511" s="744"/>
      <c r="P1511" s="744"/>
    </row>
    <row r="1512" spans="4:16" s="13" customFormat="1" ht="20.25" customHeight="1">
      <c r="D1512" s="667"/>
      <c r="E1512" s="667"/>
      <c r="G1512" s="743"/>
      <c r="H1512" s="743"/>
      <c r="I1512" s="743"/>
      <c r="J1512" s="743"/>
      <c r="K1512" s="743"/>
      <c r="L1512" s="743"/>
      <c r="M1512" s="743"/>
      <c r="N1512" s="744"/>
      <c r="O1512" s="744"/>
      <c r="P1512" s="744"/>
    </row>
    <row r="1513" spans="4:16" s="13" customFormat="1" ht="20.25" customHeight="1">
      <c r="D1513" s="667"/>
      <c r="E1513" s="667"/>
      <c r="G1513" s="743"/>
      <c r="H1513" s="743"/>
      <c r="I1513" s="743"/>
      <c r="J1513" s="743"/>
      <c r="K1513" s="743"/>
      <c r="L1513" s="743"/>
      <c r="M1513" s="743"/>
      <c r="N1513" s="744"/>
      <c r="O1513" s="744"/>
      <c r="P1513" s="744"/>
    </row>
    <row r="1514" spans="4:16" s="13" customFormat="1" ht="20.25" customHeight="1">
      <c r="D1514" s="667"/>
      <c r="E1514" s="667"/>
      <c r="G1514" s="743"/>
      <c r="H1514" s="743"/>
      <c r="I1514" s="743"/>
      <c r="J1514" s="743"/>
      <c r="K1514" s="743"/>
      <c r="L1514" s="743"/>
      <c r="M1514" s="743"/>
      <c r="N1514" s="744"/>
      <c r="O1514" s="744"/>
      <c r="P1514" s="744"/>
    </row>
    <row r="1515" spans="4:16" s="13" customFormat="1" ht="20.25" customHeight="1">
      <c r="D1515" s="667"/>
      <c r="E1515" s="667"/>
      <c r="G1515" s="743"/>
      <c r="H1515" s="743"/>
      <c r="I1515" s="743"/>
      <c r="J1515" s="743"/>
      <c r="K1515" s="743"/>
      <c r="L1515" s="743"/>
      <c r="M1515" s="743"/>
      <c r="N1515" s="744"/>
      <c r="O1515" s="744"/>
      <c r="P1515" s="744"/>
    </row>
    <row r="1516" spans="4:16" s="13" customFormat="1" ht="20.25" customHeight="1">
      <c r="D1516" s="667"/>
      <c r="E1516" s="667"/>
      <c r="G1516" s="743"/>
      <c r="H1516" s="743"/>
      <c r="I1516" s="743"/>
      <c r="J1516" s="743"/>
      <c r="K1516" s="743"/>
      <c r="L1516" s="743"/>
      <c r="M1516" s="743"/>
      <c r="N1516" s="744"/>
      <c r="O1516" s="744"/>
      <c r="P1516" s="744"/>
    </row>
    <row r="1517" spans="4:16" s="13" customFormat="1" ht="20.25" customHeight="1">
      <c r="D1517" s="667"/>
      <c r="E1517" s="667"/>
      <c r="G1517" s="743"/>
      <c r="H1517" s="743"/>
      <c r="I1517" s="743"/>
      <c r="J1517" s="743"/>
      <c r="K1517" s="743"/>
      <c r="L1517" s="743"/>
      <c r="M1517" s="743"/>
      <c r="N1517" s="744"/>
      <c r="O1517" s="744"/>
      <c r="P1517" s="744"/>
    </row>
    <row r="1518" spans="4:16" s="13" customFormat="1" ht="20.25" customHeight="1">
      <c r="D1518" s="667"/>
      <c r="E1518" s="667"/>
      <c r="G1518" s="743"/>
      <c r="H1518" s="743"/>
      <c r="I1518" s="743"/>
      <c r="J1518" s="743"/>
      <c r="K1518" s="743"/>
      <c r="L1518" s="743"/>
      <c r="M1518" s="743"/>
      <c r="N1518" s="744"/>
      <c r="O1518" s="744"/>
      <c r="P1518" s="744"/>
    </row>
    <row r="1519" spans="4:16" s="13" customFormat="1" ht="20.25" customHeight="1">
      <c r="D1519" s="667"/>
      <c r="E1519" s="667"/>
      <c r="G1519" s="743"/>
      <c r="H1519" s="743"/>
      <c r="I1519" s="743"/>
      <c r="J1519" s="743"/>
      <c r="K1519" s="743"/>
      <c r="L1519" s="743"/>
      <c r="M1519" s="743"/>
      <c r="N1519" s="744"/>
      <c r="O1519" s="744"/>
      <c r="P1519" s="744"/>
    </row>
    <row r="1520" spans="4:16" s="13" customFormat="1" ht="20.25" customHeight="1">
      <c r="D1520" s="667"/>
      <c r="E1520" s="667"/>
      <c r="G1520" s="743"/>
      <c r="H1520" s="743"/>
      <c r="I1520" s="743"/>
      <c r="J1520" s="743"/>
      <c r="K1520" s="743"/>
      <c r="L1520" s="743"/>
      <c r="M1520" s="743"/>
      <c r="N1520" s="744"/>
      <c r="O1520" s="744"/>
      <c r="P1520" s="744"/>
    </row>
    <row r="1521" spans="4:16" s="13" customFormat="1" ht="20.25" customHeight="1">
      <c r="D1521" s="667"/>
      <c r="E1521" s="667"/>
      <c r="G1521" s="743"/>
      <c r="H1521" s="743"/>
      <c r="I1521" s="743"/>
      <c r="J1521" s="743"/>
      <c r="K1521" s="743"/>
      <c r="L1521" s="743"/>
      <c r="M1521" s="743"/>
      <c r="N1521" s="744"/>
      <c r="O1521" s="744"/>
      <c r="P1521" s="744"/>
    </row>
    <row r="1522" spans="4:16" s="13" customFormat="1" ht="20.25" customHeight="1">
      <c r="D1522" s="667"/>
      <c r="E1522" s="667"/>
      <c r="G1522" s="743"/>
      <c r="H1522" s="743"/>
      <c r="I1522" s="743"/>
      <c r="J1522" s="743"/>
      <c r="K1522" s="743"/>
      <c r="L1522" s="743"/>
      <c r="M1522" s="743"/>
      <c r="N1522" s="744"/>
      <c r="O1522" s="744"/>
      <c r="P1522" s="744"/>
    </row>
    <row r="1523" spans="4:16" s="13" customFormat="1" ht="20.25" customHeight="1">
      <c r="D1523" s="667"/>
      <c r="E1523" s="667"/>
      <c r="G1523" s="743"/>
      <c r="H1523" s="743"/>
      <c r="I1523" s="743"/>
      <c r="J1523" s="743"/>
      <c r="K1523" s="743"/>
      <c r="L1523" s="743"/>
      <c r="M1523" s="743"/>
      <c r="N1523" s="744"/>
      <c r="O1523" s="744"/>
      <c r="P1523" s="744"/>
    </row>
    <row r="1524" spans="4:16" s="13" customFormat="1" ht="20.25" customHeight="1">
      <c r="D1524" s="667"/>
      <c r="E1524" s="667"/>
      <c r="G1524" s="743"/>
      <c r="H1524" s="743"/>
      <c r="I1524" s="743"/>
      <c r="J1524" s="743"/>
      <c r="K1524" s="743"/>
      <c r="L1524" s="743"/>
      <c r="M1524" s="743"/>
      <c r="N1524" s="744"/>
      <c r="O1524" s="744"/>
      <c r="P1524" s="744"/>
    </row>
    <row r="1525" spans="4:16" s="13" customFormat="1" ht="20.25" customHeight="1">
      <c r="D1525" s="667"/>
      <c r="E1525" s="667"/>
      <c r="G1525" s="743"/>
      <c r="H1525" s="743"/>
      <c r="I1525" s="743"/>
      <c r="J1525" s="743"/>
      <c r="K1525" s="743"/>
      <c r="L1525" s="743"/>
      <c r="M1525" s="743"/>
      <c r="N1525" s="744"/>
      <c r="O1525" s="744"/>
      <c r="P1525" s="744"/>
    </row>
  </sheetData>
  <sheetProtection/>
  <mergeCells count="468">
    <mergeCell ref="G45:K45"/>
    <mergeCell ref="N302:P302"/>
    <mergeCell ref="N303:P303"/>
    <mergeCell ref="N304:P304"/>
    <mergeCell ref="A6:A7"/>
    <mergeCell ref="N12:P12"/>
    <mergeCell ref="N46:P46"/>
    <mergeCell ref="N23:P23"/>
    <mergeCell ref="N18:P18"/>
    <mergeCell ref="N20:P20"/>
    <mergeCell ref="N313:P313"/>
    <mergeCell ref="N38:P38"/>
    <mergeCell ref="N39:P39"/>
    <mergeCell ref="N41:P41"/>
    <mergeCell ref="N47:P47"/>
    <mergeCell ref="N55:P55"/>
    <mergeCell ref="N40:P40"/>
    <mergeCell ref="N59:P59"/>
    <mergeCell ref="N84:P84"/>
    <mergeCell ref="N66:P66"/>
    <mergeCell ref="N21:P21"/>
    <mergeCell ref="N22:P22"/>
    <mergeCell ref="N57:P57"/>
    <mergeCell ref="N106:P106"/>
    <mergeCell ref="N99:P99"/>
    <mergeCell ref="N100:P100"/>
    <mergeCell ref="N43:P43"/>
    <mergeCell ref="N37:P37"/>
    <mergeCell ref="N45:P45"/>
    <mergeCell ref="N53:P53"/>
    <mergeCell ref="N25:P25"/>
    <mergeCell ref="N26:P26"/>
    <mergeCell ref="N16:P16"/>
    <mergeCell ref="A1:P1"/>
    <mergeCell ref="A2:P2"/>
    <mergeCell ref="O3:P3"/>
    <mergeCell ref="D4:D5"/>
    <mergeCell ref="E4:E5"/>
    <mergeCell ref="F4:F5"/>
    <mergeCell ref="G4:P5"/>
    <mergeCell ref="N36:P36"/>
    <mergeCell ref="L60:M60"/>
    <mergeCell ref="N60:P60"/>
    <mergeCell ref="N13:P13"/>
    <mergeCell ref="N14:P14"/>
    <mergeCell ref="N15:P15"/>
    <mergeCell ref="G36:M36"/>
    <mergeCell ref="N30:P30"/>
    <mergeCell ref="N31:P31"/>
    <mergeCell ref="N24:P24"/>
    <mergeCell ref="L27:M27"/>
    <mergeCell ref="N27:P27"/>
    <mergeCell ref="L28:M28"/>
    <mergeCell ref="N28:P28"/>
    <mergeCell ref="N32:P32"/>
    <mergeCell ref="N35:P35"/>
    <mergeCell ref="L61:M61"/>
    <mergeCell ref="N61:P61"/>
    <mergeCell ref="L62:M62"/>
    <mergeCell ref="N62:P62"/>
    <mergeCell ref="L59:M59"/>
    <mergeCell ref="N63:P63"/>
    <mergeCell ref="G103:L103"/>
    <mergeCell ref="N69:P69"/>
    <mergeCell ref="N72:P72"/>
    <mergeCell ref="N78:P78"/>
    <mergeCell ref="N79:P79"/>
    <mergeCell ref="N77:P77"/>
    <mergeCell ref="G78:M78"/>
    <mergeCell ref="N85:P85"/>
    <mergeCell ref="O86:P86"/>
    <mergeCell ref="N87:P87"/>
    <mergeCell ref="N88:P88"/>
    <mergeCell ref="N81:P81"/>
    <mergeCell ref="N82:P82"/>
    <mergeCell ref="N83:P83"/>
    <mergeCell ref="N102:P102"/>
    <mergeCell ref="N103:P103"/>
    <mergeCell ref="N90:P90"/>
    <mergeCell ref="N92:P92"/>
    <mergeCell ref="N94:P94"/>
    <mergeCell ref="N95:P95"/>
    <mergeCell ref="N96:P96"/>
    <mergeCell ref="N112:P112"/>
    <mergeCell ref="N114:P114"/>
    <mergeCell ref="N116:P116"/>
    <mergeCell ref="N108:P108"/>
    <mergeCell ref="N109:P109"/>
    <mergeCell ref="N110:P110"/>
    <mergeCell ref="N111:P111"/>
    <mergeCell ref="L117:M117"/>
    <mergeCell ref="N117:P117"/>
    <mergeCell ref="N118:P118"/>
    <mergeCell ref="N119:P119"/>
    <mergeCell ref="G154:H154"/>
    <mergeCell ref="K154:M154"/>
    <mergeCell ref="M122:P122"/>
    <mergeCell ref="N125:P125"/>
    <mergeCell ref="N126:P126"/>
    <mergeCell ref="N127:P127"/>
    <mergeCell ref="G128:L128"/>
    <mergeCell ref="N128:P128"/>
    <mergeCell ref="G129:L129"/>
    <mergeCell ref="N129:P129"/>
    <mergeCell ref="G130:L130"/>
    <mergeCell ref="N130:P130"/>
    <mergeCell ref="G131:L131"/>
    <mergeCell ref="N131:P131"/>
    <mergeCell ref="G132:L132"/>
    <mergeCell ref="N132:P132"/>
    <mergeCell ref="G133:L133"/>
    <mergeCell ref="G134:M134"/>
    <mergeCell ref="N134:P134"/>
    <mergeCell ref="G135:M135"/>
    <mergeCell ref="N135:P135"/>
    <mergeCell ref="G145:L145"/>
    <mergeCell ref="N145:P145"/>
    <mergeCell ref="G136:L136"/>
    <mergeCell ref="N136:P136"/>
    <mergeCell ref="G137:L137"/>
    <mergeCell ref="N137:P137"/>
    <mergeCell ref="N138:P138"/>
    <mergeCell ref="N139:P139"/>
    <mergeCell ref="N147:P147"/>
    <mergeCell ref="N151:P151"/>
    <mergeCell ref="N140:P140"/>
    <mergeCell ref="N141:P141"/>
    <mergeCell ref="N142:P142"/>
    <mergeCell ref="N143:P143"/>
    <mergeCell ref="N144:P144"/>
    <mergeCell ref="N160:P160"/>
    <mergeCell ref="N159:P159"/>
    <mergeCell ref="N156:P156"/>
    <mergeCell ref="N157:P157"/>
    <mergeCell ref="N158:P158"/>
    <mergeCell ref="N152:P152"/>
    <mergeCell ref="N154:P154"/>
    <mergeCell ref="N153:P153"/>
    <mergeCell ref="G244:M244"/>
    <mergeCell ref="N244:P244"/>
    <mergeCell ref="N166:P166"/>
    <mergeCell ref="N167:P167"/>
    <mergeCell ref="G168:J168"/>
    <mergeCell ref="K168:M168"/>
    <mergeCell ref="N168:P168"/>
    <mergeCell ref="N169:P169"/>
    <mergeCell ref="N170:P170"/>
    <mergeCell ref="N172:P172"/>
    <mergeCell ref="N161:P161"/>
    <mergeCell ref="N162:P162"/>
    <mergeCell ref="N164:P164"/>
    <mergeCell ref="N165:P165"/>
    <mergeCell ref="G243:I243"/>
    <mergeCell ref="N243:P243"/>
    <mergeCell ref="N173:P173"/>
    <mergeCell ref="N175:P175"/>
    <mergeCell ref="N177:P177"/>
    <mergeCell ref="N178:P178"/>
    <mergeCell ref="N179:P179"/>
    <mergeCell ref="N180:P180"/>
    <mergeCell ref="G181:I181"/>
    <mergeCell ref="K181:M181"/>
    <mergeCell ref="N181:P181"/>
    <mergeCell ref="G182:M182"/>
    <mergeCell ref="N182:P182"/>
    <mergeCell ref="N184:P184"/>
    <mergeCell ref="N186:P186"/>
    <mergeCell ref="L187:M187"/>
    <mergeCell ref="N187:P187"/>
    <mergeCell ref="L188:M188"/>
    <mergeCell ref="N188:P188"/>
    <mergeCell ref="L189:M189"/>
    <mergeCell ref="N189:P189"/>
    <mergeCell ref="L190:M190"/>
    <mergeCell ref="N190:P190"/>
    <mergeCell ref="N191:P191"/>
    <mergeCell ref="N192:P192"/>
    <mergeCell ref="G193:H193"/>
    <mergeCell ref="L193:M193"/>
    <mergeCell ref="N193:P193"/>
    <mergeCell ref="G194:H194"/>
    <mergeCell ref="L194:M194"/>
    <mergeCell ref="N194:P194"/>
    <mergeCell ref="N195:P195"/>
    <mergeCell ref="N196:P196"/>
    <mergeCell ref="M197:P197"/>
    <mergeCell ref="G198:H198"/>
    <mergeCell ref="K198:L198"/>
    <mergeCell ref="N198:P198"/>
    <mergeCell ref="L200:M200"/>
    <mergeCell ref="N200:P200"/>
    <mergeCell ref="L201:M201"/>
    <mergeCell ref="N201:P201"/>
    <mergeCell ref="L202:M202"/>
    <mergeCell ref="N202:P202"/>
    <mergeCell ref="N203:P203"/>
    <mergeCell ref="N204:P204"/>
    <mergeCell ref="N205:P205"/>
    <mergeCell ref="N206:P206"/>
    <mergeCell ref="N207:P207"/>
    <mergeCell ref="L208:M208"/>
    <mergeCell ref="N208:P208"/>
    <mergeCell ref="L209:M209"/>
    <mergeCell ref="N209:P209"/>
    <mergeCell ref="G210:H210"/>
    <mergeCell ref="L210:M210"/>
    <mergeCell ref="N210:P210"/>
    <mergeCell ref="N212:P212"/>
    <mergeCell ref="G214:M214"/>
    <mergeCell ref="N214:P214"/>
    <mergeCell ref="N215:P215"/>
    <mergeCell ref="N216:P216"/>
    <mergeCell ref="N217:P217"/>
    <mergeCell ref="N218:P218"/>
    <mergeCell ref="N219:P219"/>
    <mergeCell ref="G220:K220"/>
    <mergeCell ref="N220:P220"/>
    <mergeCell ref="G221:K221"/>
    <mergeCell ref="N221:P221"/>
    <mergeCell ref="G222:K222"/>
    <mergeCell ref="G223:K223"/>
    <mergeCell ref="N223:P223"/>
    <mergeCell ref="G224:K224"/>
    <mergeCell ref="N224:P224"/>
    <mergeCell ref="G225:K225"/>
    <mergeCell ref="N225:P225"/>
    <mergeCell ref="G226:K226"/>
    <mergeCell ref="N226:P226"/>
    <mergeCell ref="G227:K227"/>
    <mergeCell ref="N227:P227"/>
    <mergeCell ref="G228:M228"/>
    <mergeCell ref="N228:P228"/>
    <mergeCell ref="N236:P236"/>
    <mergeCell ref="G238:J238"/>
    <mergeCell ref="N238:P238"/>
    <mergeCell ref="N240:P240"/>
    <mergeCell ref="N229:P229"/>
    <mergeCell ref="N230:P230"/>
    <mergeCell ref="N232:P232"/>
    <mergeCell ref="N233:P233"/>
    <mergeCell ref="N234:P234"/>
    <mergeCell ref="N235:P235"/>
    <mergeCell ref="O253:P253"/>
    <mergeCell ref="N254:P254"/>
    <mergeCell ref="N249:P249"/>
    <mergeCell ref="N247:P247"/>
    <mergeCell ref="N248:P248"/>
    <mergeCell ref="N245:P245"/>
    <mergeCell ref="N246:P246"/>
    <mergeCell ref="N268:P268"/>
    <mergeCell ref="N270:P270"/>
    <mergeCell ref="L271:M271"/>
    <mergeCell ref="N271:P271"/>
    <mergeCell ref="G302:H302"/>
    <mergeCell ref="N255:P255"/>
    <mergeCell ref="N258:P258"/>
    <mergeCell ref="N299:P299"/>
    <mergeCell ref="N298:P298"/>
    <mergeCell ref="O272:P272"/>
    <mergeCell ref="N273:P273"/>
    <mergeCell ref="N274:P274"/>
    <mergeCell ref="N275:P275"/>
    <mergeCell ref="N276:P276"/>
    <mergeCell ref="N277:P277"/>
    <mergeCell ref="N278:P278"/>
    <mergeCell ref="N282:P282"/>
    <mergeCell ref="N283:P283"/>
    <mergeCell ref="N285:P285"/>
    <mergeCell ref="N287:P287"/>
    <mergeCell ref="N288:P288"/>
    <mergeCell ref="N289:P289"/>
    <mergeCell ref="N290:P290"/>
    <mergeCell ref="G291:H291"/>
    <mergeCell ref="G292:H292"/>
    <mergeCell ref="N292:P292"/>
    <mergeCell ref="N317:P317"/>
    <mergeCell ref="G315:M315"/>
    <mergeCell ref="N315:P315"/>
    <mergeCell ref="G314:M314"/>
    <mergeCell ref="G309:M309"/>
    <mergeCell ref="G313:M313"/>
    <mergeCell ref="N318:P318"/>
    <mergeCell ref="N319:P319"/>
    <mergeCell ref="G323:H323"/>
    <mergeCell ref="N323:P323"/>
    <mergeCell ref="G324:H324"/>
    <mergeCell ref="N305:P305"/>
    <mergeCell ref="N309:P309"/>
    <mergeCell ref="G317:H317"/>
    <mergeCell ref="G312:M312"/>
    <mergeCell ref="N312:P312"/>
    <mergeCell ref="N326:P326"/>
    <mergeCell ref="N327:P327"/>
    <mergeCell ref="G328:H328"/>
    <mergeCell ref="G330:M330"/>
    <mergeCell ref="N330:P330"/>
    <mergeCell ref="G331:H331"/>
    <mergeCell ref="G332:H332"/>
    <mergeCell ref="N333:P333"/>
    <mergeCell ref="N334:P334"/>
    <mergeCell ref="N336:P336"/>
    <mergeCell ref="N337:P337"/>
    <mergeCell ref="N338:P338"/>
    <mergeCell ref="N339:P339"/>
    <mergeCell ref="L340:M340"/>
    <mergeCell ref="N340:P340"/>
    <mergeCell ref="L341:M341"/>
    <mergeCell ref="N341:P341"/>
    <mergeCell ref="N342:P342"/>
    <mergeCell ref="G343:H343"/>
    <mergeCell ref="N343:P343"/>
    <mergeCell ref="N344:P344"/>
    <mergeCell ref="N345:P345"/>
    <mergeCell ref="N346:P346"/>
    <mergeCell ref="N347:P347"/>
    <mergeCell ref="N348:P348"/>
    <mergeCell ref="N349:P349"/>
    <mergeCell ref="N350:P350"/>
    <mergeCell ref="N351:P351"/>
    <mergeCell ref="N352:P352"/>
    <mergeCell ref="N353:P353"/>
    <mergeCell ref="N354:P354"/>
    <mergeCell ref="N355:P355"/>
    <mergeCell ref="N356:P356"/>
    <mergeCell ref="N357:P357"/>
    <mergeCell ref="N358:P358"/>
    <mergeCell ref="N359:P359"/>
    <mergeCell ref="N360:P360"/>
    <mergeCell ref="N361:P361"/>
    <mergeCell ref="N362:P362"/>
    <mergeCell ref="N363:P363"/>
    <mergeCell ref="N364:P364"/>
    <mergeCell ref="N365:P365"/>
    <mergeCell ref="G374:H374"/>
    <mergeCell ref="N374:P374"/>
    <mergeCell ref="N375:P375"/>
    <mergeCell ref="N366:P366"/>
    <mergeCell ref="G367:H367"/>
    <mergeCell ref="G368:H368"/>
    <mergeCell ref="N368:P368"/>
    <mergeCell ref="N376:P376"/>
    <mergeCell ref="N377:P377"/>
    <mergeCell ref="G378:H378"/>
    <mergeCell ref="N378:P378"/>
    <mergeCell ref="N379:P379"/>
    <mergeCell ref="N380:P380"/>
    <mergeCell ref="L376:M376"/>
    <mergeCell ref="N381:P381"/>
    <mergeCell ref="N382:P382"/>
    <mergeCell ref="N383:P383"/>
    <mergeCell ref="N384:P384"/>
    <mergeCell ref="N386:P386"/>
    <mergeCell ref="G387:H387"/>
    <mergeCell ref="N387:P387"/>
    <mergeCell ref="G388:H388"/>
    <mergeCell ref="N388:P388"/>
    <mergeCell ref="N393:P393"/>
    <mergeCell ref="G394:H394"/>
    <mergeCell ref="N394:P394"/>
    <mergeCell ref="N395:P395"/>
    <mergeCell ref="N396:P396"/>
    <mergeCell ref="G397:H397"/>
    <mergeCell ref="G398:H398"/>
    <mergeCell ref="N398:P398"/>
    <mergeCell ref="N399:P399"/>
    <mergeCell ref="N400:P400"/>
    <mergeCell ref="N401:P401"/>
    <mergeCell ref="N402:P402"/>
    <mergeCell ref="G403:H403"/>
    <mergeCell ref="N403:P403"/>
    <mergeCell ref="N404:P404"/>
    <mergeCell ref="N405:P405"/>
    <mergeCell ref="N408:P408"/>
    <mergeCell ref="G410:H410"/>
    <mergeCell ref="G411:H411"/>
    <mergeCell ref="N411:P411"/>
    <mergeCell ref="N406:P406"/>
    <mergeCell ref="N407:P407"/>
    <mergeCell ref="N417:P417"/>
    <mergeCell ref="N422:P422"/>
    <mergeCell ref="G423:H423"/>
    <mergeCell ref="N423:P423"/>
    <mergeCell ref="N425:P425"/>
    <mergeCell ref="G426:H426"/>
    <mergeCell ref="N421:P421"/>
    <mergeCell ref="G427:H427"/>
    <mergeCell ref="N427:P427"/>
    <mergeCell ref="N435:P435"/>
    <mergeCell ref="N437:P437"/>
    <mergeCell ref="N438:P438"/>
    <mergeCell ref="N439:P439"/>
    <mergeCell ref="N429:P429"/>
    <mergeCell ref="N440:P440"/>
    <mergeCell ref="N441:P441"/>
    <mergeCell ref="N442:P442"/>
    <mergeCell ref="N443:P443"/>
    <mergeCell ref="N444:P444"/>
    <mergeCell ref="N445:P445"/>
    <mergeCell ref="N446:P446"/>
    <mergeCell ref="N447:P447"/>
    <mergeCell ref="N448:P448"/>
    <mergeCell ref="N449:P449"/>
    <mergeCell ref="N450:P450"/>
    <mergeCell ref="N451:P451"/>
    <mergeCell ref="N456:P456"/>
    <mergeCell ref="N457:P457"/>
    <mergeCell ref="N466:P466"/>
    <mergeCell ref="N469:P469"/>
    <mergeCell ref="N470:P470"/>
    <mergeCell ref="N458:P458"/>
    <mergeCell ref="N459:P459"/>
    <mergeCell ref="N479:P479"/>
    <mergeCell ref="N482:P482"/>
    <mergeCell ref="N484:P484"/>
    <mergeCell ref="N471:P471"/>
    <mergeCell ref="N472:P472"/>
    <mergeCell ref="K473:L473"/>
    <mergeCell ref="N473:P473"/>
    <mergeCell ref="N475:P475"/>
    <mergeCell ref="K477:L477"/>
    <mergeCell ref="N477:P477"/>
    <mergeCell ref="N486:P486"/>
    <mergeCell ref="G487:H487"/>
    <mergeCell ref="N491:P491"/>
    <mergeCell ref="G492:H492"/>
    <mergeCell ref="N492:P492"/>
    <mergeCell ref="N493:P493"/>
    <mergeCell ref="N495:P495"/>
    <mergeCell ref="N496:P496"/>
    <mergeCell ref="G497:J497"/>
    <mergeCell ref="N497:P497"/>
    <mergeCell ref="N498:P498"/>
    <mergeCell ref="G501:H501"/>
    <mergeCell ref="G502:H502"/>
    <mergeCell ref="N502:P502"/>
    <mergeCell ref="G504:J504"/>
    <mergeCell ref="N504:P504"/>
    <mergeCell ref="N506:P506"/>
    <mergeCell ref="N507:P507"/>
    <mergeCell ref="N540:P540"/>
    <mergeCell ref="N541:P541"/>
    <mergeCell ref="N542:P542"/>
    <mergeCell ref="N508:P508"/>
    <mergeCell ref="G509:H509"/>
    <mergeCell ref="N509:P509"/>
    <mergeCell ref="N511:P511"/>
    <mergeCell ref="N513:P513"/>
    <mergeCell ref="G514:H514"/>
    <mergeCell ref="N552:P552"/>
    <mergeCell ref="N553:P553"/>
    <mergeCell ref="N554:P554"/>
    <mergeCell ref="G515:H515"/>
    <mergeCell ref="N515:P515"/>
    <mergeCell ref="N520:P520"/>
    <mergeCell ref="N521:P521"/>
    <mergeCell ref="G525:H525"/>
    <mergeCell ref="N550:P550"/>
    <mergeCell ref="N529:P529"/>
    <mergeCell ref="N481:P481"/>
    <mergeCell ref="N555:P555"/>
    <mergeCell ref="N545:P545"/>
    <mergeCell ref="N546:P546"/>
    <mergeCell ref="N547:P547"/>
    <mergeCell ref="N548:P548"/>
    <mergeCell ref="N549:P549"/>
    <mergeCell ref="N543:P543"/>
    <mergeCell ref="N544:P544"/>
    <mergeCell ref="N551:P551"/>
  </mergeCells>
  <printOptions horizontalCentered="1"/>
  <pageMargins left="0.2755905511811024" right="0.15748031496062992" top="0.6692913385826772" bottom="0.3937007874015748" header="0.5118110236220472" footer="0.2362204724409449"/>
  <pageSetup horizontalDpi="600" verticalDpi="600" orientation="landscape" paperSize="9" scale="72" r:id="rId1"/>
  <headerFooter alignWithMargins="0">
    <oddFooter>&amp;C&amp;P쪽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K347"/>
  <sheetViews>
    <sheetView showGridLines="0" zoomScale="75" zoomScaleNormal="75" zoomScalePageLayoutView="0" workbookViewId="0" topLeftCell="A1">
      <selection activeCell="F18" sqref="F18"/>
    </sheetView>
  </sheetViews>
  <sheetFormatPr defaultColWidth="8.88671875" defaultRowHeight="13.5"/>
  <cols>
    <col min="1" max="1" width="12.5546875" style="375" customWidth="1"/>
    <col min="2" max="2" width="13.10546875" style="375" customWidth="1"/>
    <col min="3" max="3" width="15.5546875" style="375" customWidth="1"/>
    <col min="4" max="4" width="7.88671875" style="375" customWidth="1"/>
    <col min="5" max="5" width="21.88671875" style="377" customWidth="1"/>
    <col min="6" max="6" width="20.4453125" style="378" customWidth="1"/>
    <col min="7" max="7" width="18.3359375" style="377" customWidth="1"/>
    <col min="8" max="8" width="15.77734375" style="377" customWidth="1"/>
    <col min="9" max="9" width="21.88671875" style="377" customWidth="1"/>
    <col min="10" max="10" width="16.21484375" style="377" customWidth="1"/>
    <col min="11" max="11" width="17.6640625" style="375" customWidth="1"/>
    <col min="12" max="16384" width="8.88671875" style="375" customWidth="1"/>
  </cols>
  <sheetData>
    <row r="1" spans="1:11" ht="48.75" customHeight="1">
      <c r="A1" s="1442" t="s">
        <v>669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</row>
    <row r="2" spans="1:11" ht="22.5" customHeight="1">
      <c r="A2" s="1443" t="s">
        <v>670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</row>
    <row r="3" spans="1:11" ht="25.5" customHeight="1">
      <c r="A3" s="376" t="s">
        <v>671</v>
      </c>
      <c r="K3" s="379" t="s">
        <v>672</v>
      </c>
    </row>
    <row r="4" spans="1:11" s="385" customFormat="1" ht="27.75" customHeight="1">
      <c r="A4" s="1444" t="s">
        <v>673</v>
      </c>
      <c r="B4" s="1445"/>
      <c r="C4" s="1445"/>
      <c r="D4" s="1446"/>
      <c r="E4" s="383" t="s">
        <v>674</v>
      </c>
      <c r="F4" s="1447" t="s">
        <v>675</v>
      </c>
      <c r="G4" s="1448"/>
      <c r="H4" s="1448"/>
      <c r="I4" s="1448"/>
      <c r="J4" s="384" t="s">
        <v>676</v>
      </c>
      <c r="K4" s="1449" t="s">
        <v>677</v>
      </c>
    </row>
    <row r="5" spans="1:11" ht="25.5" customHeight="1" thickBot="1">
      <c r="A5" s="386" t="s">
        <v>678</v>
      </c>
      <c r="B5" s="387" t="s">
        <v>679</v>
      </c>
      <c r="C5" s="1451" t="s">
        <v>680</v>
      </c>
      <c r="D5" s="1452"/>
      <c r="E5" s="388" t="s">
        <v>681</v>
      </c>
      <c r="F5" s="389" t="s">
        <v>682</v>
      </c>
      <c r="G5" s="390" t="s">
        <v>683</v>
      </c>
      <c r="H5" s="391" t="s">
        <v>684</v>
      </c>
      <c r="I5" s="392" t="s">
        <v>685</v>
      </c>
      <c r="J5" s="393" t="s">
        <v>686</v>
      </c>
      <c r="K5" s="1450"/>
    </row>
    <row r="6" spans="1:11" ht="30" customHeight="1" thickTop="1">
      <c r="A6" s="394" t="s">
        <v>687</v>
      </c>
      <c r="B6" s="395"/>
      <c r="C6" s="1453"/>
      <c r="D6" s="1454"/>
      <c r="E6" s="396">
        <v>138663397665</v>
      </c>
      <c r="F6" s="397">
        <f>F7+F32+F15+F68+F42+F47+F57+F63</f>
        <v>79029711133</v>
      </c>
      <c r="G6" s="398">
        <f>G7+G32+G15+G68+G42+G47+G57+G63</f>
        <v>39730698163</v>
      </c>
      <c r="H6" s="398">
        <f>H7+H32+H15+H68+H42+H47+H57+H63</f>
        <v>0</v>
      </c>
      <c r="I6" s="396">
        <f aca="true" t="shared" si="0" ref="I6:I68">SUM(F6+G6-H6)</f>
        <v>118760409296</v>
      </c>
      <c r="J6" s="399">
        <f aca="true" t="shared" si="1" ref="J6:J70">I6-E6</f>
        <v>-19902988369</v>
      </c>
      <c r="K6" s="400" t="s">
        <v>688</v>
      </c>
    </row>
    <row r="7" spans="1:11" ht="27" customHeight="1">
      <c r="A7" s="401" t="s">
        <v>689</v>
      </c>
      <c r="B7" s="402"/>
      <c r="C7" s="1455"/>
      <c r="D7" s="1446"/>
      <c r="E7" s="403">
        <v>49402561387</v>
      </c>
      <c r="F7" s="404">
        <f>F8+F13</f>
        <v>50488099500</v>
      </c>
      <c r="G7" s="405">
        <f>G8+G13</f>
        <v>1071440000</v>
      </c>
      <c r="H7" s="405">
        <f>H8+H13</f>
        <v>0</v>
      </c>
      <c r="I7" s="403">
        <f t="shared" si="0"/>
        <v>51559539500</v>
      </c>
      <c r="J7" s="406">
        <f t="shared" si="1"/>
        <v>2156978113</v>
      </c>
      <c r="K7" s="407"/>
    </row>
    <row r="8" spans="1:11" ht="27" customHeight="1">
      <c r="A8" s="408"/>
      <c r="B8" s="409" t="s">
        <v>689</v>
      </c>
      <c r="C8" s="1456"/>
      <c r="D8" s="1457"/>
      <c r="E8" s="410">
        <v>48510272300</v>
      </c>
      <c r="F8" s="411">
        <f>SUM(F9:F12)</f>
        <v>50488099500</v>
      </c>
      <c r="G8" s="411">
        <f>SUM(G9:G12)</f>
        <v>0</v>
      </c>
      <c r="H8" s="411">
        <f>SUM(H9:H12)</f>
        <v>0</v>
      </c>
      <c r="I8" s="410">
        <f t="shared" si="0"/>
        <v>50488099500</v>
      </c>
      <c r="J8" s="412">
        <f t="shared" si="1"/>
        <v>1977827200</v>
      </c>
      <c r="K8" s="413" t="s">
        <v>688</v>
      </c>
    </row>
    <row r="9" spans="1:11" ht="23.25" customHeight="1">
      <c r="A9" s="408"/>
      <c r="B9" s="409"/>
      <c r="C9" s="1458" t="s">
        <v>690</v>
      </c>
      <c r="D9" s="402" t="s">
        <v>691</v>
      </c>
      <c r="E9" s="410">
        <f>1079052000+166635000</f>
        <v>1245687000</v>
      </c>
      <c r="F9" s="415">
        <f>791367000+153012000</f>
        <v>944379000</v>
      </c>
      <c r="G9" s="416">
        <v>0</v>
      </c>
      <c r="H9" s="417">
        <v>0</v>
      </c>
      <c r="I9" s="410">
        <f t="shared" si="0"/>
        <v>944379000</v>
      </c>
      <c r="J9" s="412">
        <f t="shared" si="1"/>
        <v>-301308000</v>
      </c>
      <c r="K9" s="413" t="s">
        <v>688</v>
      </c>
    </row>
    <row r="10" spans="1:11" ht="23.25" customHeight="1">
      <c r="A10" s="408"/>
      <c r="B10" s="409"/>
      <c r="C10" s="1459"/>
      <c r="D10" s="418" t="s">
        <v>692</v>
      </c>
      <c r="E10" s="410">
        <v>119004000</v>
      </c>
      <c r="F10" s="415">
        <v>115628000</v>
      </c>
      <c r="G10" s="416"/>
      <c r="H10" s="417"/>
      <c r="I10" s="410">
        <f t="shared" si="0"/>
        <v>115628000</v>
      </c>
      <c r="J10" s="412">
        <f t="shared" si="1"/>
        <v>-3376000</v>
      </c>
      <c r="K10" s="413"/>
    </row>
    <row r="11" spans="1:11" ht="23.25" customHeight="1">
      <c r="A11" s="408"/>
      <c r="B11" s="409"/>
      <c r="C11" s="1458" t="s">
        <v>693</v>
      </c>
      <c r="D11" s="418" t="s">
        <v>691</v>
      </c>
      <c r="E11" s="410">
        <f>37218195800+7526680500</f>
        <v>44744876300</v>
      </c>
      <c r="F11" s="415">
        <f>39026352000+7736402500</f>
        <v>46762754500</v>
      </c>
      <c r="G11" s="416"/>
      <c r="H11" s="417"/>
      <c r="I11" s="410">
        <f t="shared" si="0"/>
        <v>46762754500</v>
      </c>
      <c r="J11" s="412">
        <f t="shared" si="1"/>
        <v>2017878200</v>
      </c>
      <c r="K11" s="413"/>
    </row>
    <row r="12" spans="1:11" ht="23.25" customHeight="1">
      <c r="A12" s="408"/>
      <c r="B12" s="409"/>
      <c r="C12" s="1459"/>
      <c r="D12" s="418" t="s">
        <v>692</v>
      </c>
      <c r="E12" s="410">
        <v>2400705000</v>
      </c>
      <c r="F12" s="415">
        <v>2665338000</v>
      </c>
      <c r="G12" s="416">
        <v>0</v>
      </c>
      <c r="H12" s="417">
        <v>0</v>
      </c>
      <c r="I12" s="410">
        <f t="shared" si="0"/>
        <v>2665338000</v>
      </c>
      <c r="J12" s="412">
        <f t="shared" si="1"/>
        <v>264633000</v>
      </c>
      <c r="K12" s="413" t="s">
        <v>688</v>
      </c>
    </row>
    <row r="13" spans="1:11" ht="27" customHeight="1">
      <c r="A13" s="408"/>
      <c r="B13" s="414" t="s">
        <v>694</v>
      </c>
      <c r="C13" s="1456"/>
      <c r="D13" s="1457"/>
      <c r="E13" s="410">
        <v>892289087</v>
      </c>
      <c r="F13" s="411">
        <f>SUM(F14)</f>
        <v>0</v>
      </c>
      <c r="G13" s="411">
        <f>SUM(G14)</f>
        <v>1071440000</v>
      </c>
      <c r="H13" s="419">
        <f>H14</f>
        <v>0</v>
      </c>
      <c r="I13" s="410">
        <f>SUM(F13+G13-H13)</f>
        <v>1071440000</v>
      </c>
      <c r="J13" s="412">
        <f t="shared" si="1"/>
        <v>179150913</v>
      </c>
      <c r="K13" s="420"/>
    </row>
    <row r="14" spans="1:11" ht="24.75" customHeight="1">
      <c r="A14" s="421"/>
      <c r="B14" s="395"/>
      <c r="C14" s="1460" t="s">
        <v>695</v>
      </c>
      <c r="D14" s="1461"/>
      <c r="E14" s="422">
        <v>892289087</v>
      </c>
      <c r="F14" s="423">
        <v>0</v>
      </c>
      <c r="G14" s="424">
        <f>1000440000+71000000</f>
        <v>1071440000</v>
      </c>
      <c r="H14" s="425">
        <v>0</v>
      </c>
      <c r="I14" s="422">
        <f>SUM(F14+G14-H14)</f>
        <v>1071440000</v>
      </c>
      <c r="J14" s="426">
        <f t="shared" si="1"/>
        <v>179150913</v>
      </c>
      <c r="K14" s="427"/>
    </row>
    <row r="15" spans="1:11" ht="27" customHeight="1">
      <c r="A15" s="401" t="s">
        <v>696</v>
      </c>
      <c r="B15" s="402"/>
      <c r="C15" s="1462"/>
      <c r="D15" s="1463"/>
      <c r="E15" s="428">
        <v>19488390985</v>
      </c>
      <c r="F15" s="429">
        <f>F16+F26+F22+F30</f>
        <v>0</v>
      </c>
      <c r="G15" s="430">
        <f>G16+G26+G22+G30</f>
        <v>19564605200</v>
      </c>
      <c r="H15" s="430">
        <f>H16+H26+H22+H30</f>
        <v>0</v>
      </c>
      <c r="I15" s="428">
        <f t="shared" si="0"/>
        <v>19564605200</v>
      </c>
      <c r="J15" s="406">
        <f t="shared" si="1"/>
        <v>76214215</v>
      </c>
      <c r="K15" s="407"/>
    </row>
    <row r="16" spans="1:11" ht="27" customHeight="1">
      <c r="A16" s="401" t="s">
        <v>697</v>
      </c>
      <c r="B16" s="409" t="s">
        <v>698</v>
      </c>
      <c r="C16" s="1464"/>
      <c r="D16" s="1465"/>
      <c r="E16" s="410">
        <v>7400000000</v>
      </c>
      <c r="F16" s="411">
        <f>F17+F18+F19+F20+F21</f>
        <v>0</v>
      </c>
      <c r="G16" s="411">
        <f>G17+G18+G19+G20+G21</f>
        <v>7300000000</v>
      </c>
      <c r="H16" s="411">
        <f>H17+H18+H19+H20+H21</f>
        <v>0</v>
      </c>
      <c r="I16" s="410">
        <f t="shared" si="0"/>
        <v>7300000000</v>
      </c>
      <c r="J16" s="412">
        <f t="shared" si="1"/>
        <v>-100000000</v>
      </c>
      <c r="K16" s="420"/>
    </row>
    <row r="17" spans="1:11" ht="24" customHeight="1">
      <c r="A17" s="408"/>
      <c r="B17" s="409"/>
      <c r="C17" s="1464" t="s">
        <v>699</v>
      </c>
      <c r="D17" s="1465"/>
      <c r="E17" s="410">
        <v>0</v>
      </c>
      <c r="F17" s="411">
        <v>0</v>
      </c>
      <c r="G17" s="416">
        <v>0</v>
      </c>
      <c r="H17" s="417">
        <v>0</v>
      </c>
      <c r="I17" s="410">
        <f t="shared" si="0"/>
        <v>0</v>
      </c>
      <c r="J17" s="412">
        <f t="shared" si="1"/>
        <v>0</v>
      </c>
      <c r="K17" s="420"/>
    </row>
    <row r="18" spans="1:11" ht="24" customHeight="1">
      <c r="A18" s="408"/>
      <c r="B18" s="409"/>
      <c r="C18" s="1464" t="s">
        <v>700</v>
      </c>
      <c r="D18" s="1465"/>
      <c r="E18" s="410">
        <v>2600000000</v>
      </c>
      <c r="F18" s="411">
        <v>0</v>
      </c>
      <c r="G18" s="431">
        <v>2600000000</v>
      </c>
      <c r="H18" s="417">
        <v>0</v>
      </c>
      <c r="I18" s="410">
        <f t="shared" si="0"/>
        <v>2600000000</v>
      </c>
      <c r="J18" s="412">
        <f t="shared" si="1"/>
        <v>0</v>
      </c>
      <c r="K18" s="420"/>
    </row>
    <row r="19" spans="1:11" ht="24" customHeight="1">
      <c r="A19" s="408"/>
      <c r="B19" s="409"/>
      <c r="C19" s="1466" t="s">
        <v>701</v>
      </c>
      <c r="D19" s="1467"/>
      <c r="E19" s="410">
        <v>4800000000</v>
      </c>
      <c r="F19" s="411">
        <v>0</v>
      </c>
      <c r="G19" s="431">
        <v>4700000000</v>
      </c>
      <c r="H19" s="417">
        <v>0</v>
      </c>
      <c r="I19" s="410">
        <f t="shared" si="0"/>
        <v>4700000000</v>
      </c>
      <c r="J19" s="412">
        <f t="shared" si="1"/>
        <v>-100000000</v>
      </c>
      <c r="K19" s="420"/>
    </row>
    <row r="20" spans="1:11" ht="24" customHeight="1">
      <c r="A20" s="408"/>
      <c r="B20" s="409"/>
      <c r="C20" s="1466" t="s">
        <v>702</v>
      </c>
      <c r="D20" s="1467"/>
      <c r="E20" s="410">
        <v>0</v>
      </c>
      <c r="F20" s="411">
        <v>0</v>
      </c>
      <c r="G20" s="416">
        <v>0</v>
      </c>
      <c r="H20" s="417">
        <v>0</v>
      </c>
      <c r="I20" s="410">
        <f t="shared" si="0"/>
        <v>0</v>
      </c>
      <c r="J20" s="412">
        <f t="shared" si="1"/>
        <v>0</v>
      </c>
      <c r="K20" s="420"/>
    </row>
    <row r="21" spans="1:11" ht="24" customHeight="1">
      <c r="A21" s="408"/>
      <c r="B21" s="409"/>
      <c r="C21" s="1466" t="s">
        <v>703</v>
      </c>
      <c r="D21" s="1467"/>
      <c r="E21" s="410">
        <v>0</v>
      </c>
      <c r="F21" s="411">
        <v>0</v>
      </c>
      <c r="G21" s="432">
        <v>0</v>
      </c>
      <c r="H21" s="416">
        <f>SUM(G21)</f>
        <v>0</v>
      </c>
      <c r="I21" s="410">
        <f t="shared" si="0"/>
        <v>0</v>
      </c>
      <c r="J21" s="412">
        <f t="shared" si="1"/>
        <v>0</v>
      </c>
      <c r="K21" s="420"/>
    </row>
    <row r="22" spans="1:11" ht="27" customHeight="1">
      <c r="A22" s="408"/>
      <c r="B22" s="414" t="s">
        <v>704</v>
      </c>
      <c r="C22" s="1464"/>
      <c r="D22" s="1465"/>
      <c r="E22" s="410">
        <v>6001757940</v>
      </c>
      <c r="F22" s="411">
        <f>F23+F24+F25</f>
        <v>0</v>
      </c>
      <c r="G22" s="419">
        <f>G23+G24+G25</f>
        <v>5795203200</v>
      </c>
      <c r="H22" s="419">
        <f>H23+H24+H25</f>
        <v>0</v>
      </c>
      <c r="I22" s="410">
        <f t="shared" si="0"/>
        <v>5795203200</v>
      </c>
      <c r="J22" s="412">
        <f t="shared" si="1"/>
        <v>-206554740</v>
      </c>
      <c r="K22" s="420"/>
    </row>
    <row r="23" spans="1:11" ht="26.25" customHeight="1">
      <c r="A23" s="408"/>
      <c r="B23" s="409"/>
      <c r="C23" s="1464" t="s">
        <v>705</v>
      </c>
      <c r="D23" s="1465"/>
      <c r="E23" s="410">
        <v>212194280</v>
      </c>
      <c r="F23" s="411">
        <v>0</v>
      </c>
      <c r="G23" s="431">
        <v>200000000</v>
      </c>
      <c r="H23" s="417">
        <v>0</v>
      </c>
      <c r="I23" s="410">
        <f t="shared" si="0"/>
        <v>200000000</v>
      </c>
      <c r="J23" s="412">
        <f t="shared" si="1"/>
        <v>-12194280</v>
      </c>
      <c r="K23" s="420" t="s">
        <v>688</v>
      </c>
    </row>
    <row r="24" spans="1:11" ht="26.25" customHeight="1">
      <c r="A24" s="408"/>
      <c r="B24" s="409"/>
      <c r="C24" s="1464" t="s">
        <v>706</v>
      </c>
      <c r="D24" s="1465"/>
      <c r="E24" s="410">
        <v>5789563660</v>
      </c>
      <c r="F24" s="411">
        <v>0</v>
      </c>
      <c r="G24" s="431">
        <f>5432254000+92949200</f>
        <v>5525203200</v>
      </c>
      <c r="H24" s="417">
        <v>0</v>
      </c>
      <c r="I24" s="410">
        <f t="shared" si="0"/>
        <v>5525203200</v>
      </c>
      <c r="J24" s="412">
        <f t="shared" si="1"/>
        <v>-264360460</v>
      </c>
      <c r="K24" s="433" t="s">
        <v>688</v>
      </c>
    </row>
    <row r="25" spans="1:11" ht="26.25" customHeight="1">
      <c r="A25" s="408"/>
      <c r="B25" s="409"/>
      <c r="C25" s="1464" t="s">
        <v>707</v>
      </c>
      <c r="D25" s="1465"/>
      <c r="E25" s="410">
        <v>0</v>
      </c>
      <c r="F25" s="411">
        <v>0</v>
      </c>
      <c r="G25" s="431">
        <v>70000000</v>
      </c>
      <c r="H25" s="417">
        <v>0</v>
      </c>
      <c r="I25" s="410">
        <f t="shared" si="0"/>
        <v>70000000</v>
      </c>
      <c r="J25" s="412">
        <f t="shared" si="1"/>
        <v>70000000</v>
      </c>
      <c r="K25" s="433" t="s">
        <v>688</v>
      </c>
    </row>
    <row r="26" spans="1:11" ht="27" customHeight="1">
      <c r="A26" s="408"/>
      <c r="B26" s="414" t="s">
        <v>708</v>
      </c>
      <c r="C26" s="1464"/>
      <c r="D26" s="1465"/>
      <c r="E26" s="410">
        <v>5986633045</v>
      </c>
      <c r="F26" s="411">
        <f>SUM(F27:F29)</f>
        <v>0</v>
      </c>
      <c r="G26" s="411">
        <f>SUM(G27:G29)</f>
        <v>6469402000</v>
      </c>
      <c r="H26" s="411">
        <f>SUM(H27:H29)</f>
        <v>0</v>
      </c>
      <c r="I26" s="410">
        <f t="shared" si="0"/>
        <v>6469402000</v>
      </c>
      <c r="J26" s="412">
        <f t="shared" si="1"/>
        <v>482768955</v>
      </c>
      <c r="K26" s="420"/>
    </row>
    <row r="27" spans="1:11" ht="24" customHeight="1">
      <c r="A27" s="408"/>
      <c r="B27" s="409"/>
      <c r="C27" s="1466" t="s">
        <v>709</v>
      </c>
      <c r="D27" s="1467"/>
      <c r="E27" s="410">
        <v>0</v>
      </c>
      <c r="F27" s="411">
        <v>0</v>
      </c>
      <c r="G27" s="419">
        <v>0</v>
      </c>
      <c r="H27" s="419"/>
      <c r="I27" s="410">
        <f t="shared" si="0"/>
        <v>0</v>
      </c>
      <c r="J27" s="412">
        <f t="shared" si="1"/>
        <v>0</v>
      </c>
      <c r="K27" s="434"/>
    </row>
    <row r="28" spans="1:11" ht="24" customHeight="1">
      <c r="A28" s="408"/>
      <c r="B28" s="409"/>
      <c r="C28" s="1466" t="s">
        <v>710</v>
      </c>
      <c r="D28" s="1467"/>
      <c r="E28" s="410">
        <v>5964233045</v>
      </c>
      <c r="F28" s="411">
        <v>0</v>
      </c>
      <c r="G28" s="435">
        <v>6469402000</v>
      </c>
      <c r="H28" s="419">
        <v>0</v>
      </c>
      <c r="I28" s="410">
        <f t="shared" si="0"/>
        <v>6469402000</v>
      </c>
      <c r="J28" s="412">
        <f t="shared" si="1"/>
        <v>505168955</v>
      </c>
      <c r="K28" s="434"/>
    </row>
    <row r="29" spans="1:11" ht="24" customHeight="1">
      <c r="A29" s="408"/>
      <c r="B29" s="409"/>
      <c r="C29" s="1466" t="s">
        <v>711</v>
      </c>
      <c r="D29" s="1467"/>
      <c r="E29" s="436">
        <v>22400000</v>
      </c>
      <c r="F29" s="437">
        <v>0</v>
      </c>
      <c r="G29" s="438">
        <v>0</v>
      </c>
      <c r="H29" s="439">
        <v>0</v>
      </c>
      <c r="I29" s="436">
        <f t="shared" si="0"/>
        <v>0</v>
      </c>
      <c r="J29" s="412">
        <f t="shared" si="1"/>
        <v>-22400000</v>
      </c>
      <c r="K29" s="434" t="s">
        <v>688</v>
      </c>
    </row>
    <row r="30" spans="1:11" ht="32.25" customHeight="1">
      <c r="A30" s="408"/>
      <c r="B30" s="414" t="s">
        <v>712</v>
      </c>
      <c r="C30" s="1464"/>
      <c r="D30" s="1465"/>
      <c r="E30" s="410">
        <v>100000000</v>
      </c>
      <c r="F30" s="411">
        <f>SUM(F31:F31)</f>
        <v>0</v>
      </c>
      <c r="G30" s="411">
        <f>SUM(G31:G31)</f>
        <v>0</v>
      </c>
      <c r="H30" s="411">
        <f>SUM(H31:H31)</f>
        <v>0</v>
      </c>
      <c r="I30" s="410">
        <f t="shared" si="0"/>
        <v>0</v>
      </c>
      <c r="J30" s="412">
        <f t="shared" si="1"/>
        <v>-100000000</v>
      </c>
      <c r="K30" s="420"/>
    </row>
    <row r="31" spans="1:11" ht="27" customHeight="1">
      <c r="A31" s="421"/>
      <c r="B31" s="395"/>
      <c r="C31" s="1468" t="s">
        <v>713</v>
      </c>
      <c r="D31" s="1469"/>
      <c r="E31" s="422">
        <v>100000000</v>
      </c>
      <c r="F31" s="440">
        <v>0</v>
      </c>
      <c r="G31" s="426">
        <v>0</v>
      </c>
      <c r="H31" s="426">
        <v>0</v>
      </c>
      <c r="I31" s="422">
        <f t="shared" si="0"/>
        <v>0</v>
      </c>
      <c r="J31" s="426">
        <f t="shared" si="1"/>
        <v>-100000000</v>
      </c>
      <c r="K31" s="441"/>
    </row>
    <row r="32" spans="1:11" ht="27" customHeight="1">
      <c r="A32" s="408" t="s">
        <v>714</v>
      </c>
      <c r="B32" s="409"/>
      <c r="C32" s="1462"/>
      <c r="D32" s="1463"/>
      <c r="E32" s="428">
        <v>2919595250</v>
      </c>
      <c r="F32" s="429">
        <f>F33+F36+F39</f>
        <v>0</v>
      </c>
      <c r="G32" s="430">
        <f>G33+G36+G39</f>
        <v>2934126000</v>
      </c>
      <c r="H32" s="430">
        <f>H33+H36+H39</f>
        <v>0</v>
      </c>
      <c r="I32" s="428">
        <f t="shared" si="0"/>
        <v>2934126000</v>
      </c>
      <c r="J32" s="406">
        <f t="shared" si="1"/>
        <v>14530750</v>
      </c>
      <c r="K32" s="407"/>
    </row>
    <row r="33" spans="1:11" ht="27" customHeight="1">
      <c r="A33" s="408"/>
      <c r="B33" s="414" t="s">
        <v>715</v>
      </c>
      <c r="C33" s="1464"/>
      <c r="D33" s="1465"/>
      <c r="E33" s="410">
        <v>1026015000</v>
      </c>
      <c r="F33" s="411">
        <f>F34+F35</f>
        <v>0</v>
      </c>
      <c r="G33" s="419">
        <f>G34+G35</f>
        <v>884000000</v>
      </c>
      <c r="H33" s="419">
        <f>H34+H35</f>
        <v>0</v>
      </c>
      <c r="I33" s="410">
        <f t="shared" si="0"/>
        <v>884000000</v>
      </c>
      <c r="J33" s="412">
        <f t="shared" si="1"/>
        <v>-142015000</v>
      </c>
      <c r="K33" s="420"/>
    </row>
    <row r="34" spans="1:11" ht="27" customHeight="1">
      <c r="A34" s="408"/>
      <c r="B34" s="409"/>
      <c r="C34" s="1464" t="s">
        <v>716</v>
      </c>
      <c r="D34" s="1465"/>
      <c r="E34" s="410">
        <v>0</v>
      </c>
      <c r="F34" s="411">
        <v>0</v>
      </c>
      <c r="G34" s="416">
        <v>0</v>
      </c>
      <c r="H34" s="417">
        <v>0</v>
      </c>
      <c r="I34" s="410">
        <f t="shared" si="0"/>
        <v>0</v>
      </c>
      <c r="J34" s="412">
        <f t="shared" si="1"/>
        <v>0</v>
      </c>
      <c r="K34" s="420"/>
    </row>
    <row r="35" spans="1:11" ht="27" customHeight="1">
      <c r="A35" s="408"/>
      <c r="B35" s="409"/>
      <c r="C35" s="1464" t="s">
        <v>717</v>
      </c>
      <c r="D35" s="1465"/>
      <c r="E35" s="410">
        <v>1026015000</v>
      </c>
      <c r="F35" s="411">
        <v>0</v>
      </c>
      <c r="G35" s="431">
        <v>884000000</v>
      </c>
      <c r="H35" s="417">
        <v>0</v>
      </c>
      <c r="I35" s="410">
        <f t="shared" si="0"/>
        <v>884000000</v>
      </c>
      <c r="J35" s="412">
        <f t="shared" si="1"/>
        <v>-142015000</v>
      </c>
      <c r="K35" s="420"/>
    </row>
    <row r="36" spans="1:11" ht="27" customHeight="1">
      <c r="A36" s="408"/>
      <c r="B36" s="414" t="s">
        <v>718</v>
      </c>
      <c r="C36" s="1464"/>
      <c r="D36" s="1465"/>
      <c r="E36" s="410">
        <v>15152000</v>
      </c>
      <c r="F36" s="411">
        <f>F37+F38</f>
        <v>0</v>
      </c>
      <c r="G36" s="419">
        <f>G37+G38</f>
        <v>14160000</v>
      </c>
      <c r="H36" s="419">
        <f>H37+H38</f>
        <v>0</v>
      </c>
      <c r="I36" s="410">
        <f t="shared" si="0"/>
        <v>14160000</v>
      </c>
      <c r="J36" s="412">
        <f t="shared" si="1"/>
        <v>-992000</v>
      </c>
      <c r="K36" s="420"/>
    </row>
    <row r="37" spans="1:11" ht="27" customHeight="1">
      <c r="A37" s="408"/>
      <c r="B37" s="409"/>
      <c r="C37" s="1464" t="s">
        <v>719</v>
      </c>
      <c r="D37" s="1465"/>
      <c r="E37" s="410">
        <v>15152000</v>
      </c>
      <c r="F37" s="411">
        <v>0</v>
      </c>
      <c r="G37" s="431">
        <v>14160000</v>
      </c>
      <c r="H37" s="417">
        <v>0</v>
      </c>
      <c r="I37" s="410">
        <f t="shared" si="0"/>
        <v>14160000</v>
      </c>
      <c r="J37" s="412">
        <f t="shared" si="1"/>
        <v>-992000</v>
      </c>
      <c r="K37" s="442"/>
    </row>
    <row r="38" spans="1:11" ht="27" customHeight="1">
      <c r="A38" s="408"/>
      <c r="B38" s="409"/>
      <c r="C38" s="1464" t="s">
        <v>720</v>
      </c>
      <c r="D38" s="1465"/>
      <c r="E38" s="410">
        <v>0</v>
      </c>
      <c r="F38" s="411">
        <v>0</v>
      </c>
      <c r="G38" s="416"/>
      <c r="H38" s="417">
        <v>0</v>
      </c>
      <c r="I38" s="410">
        <f t="shared" si="0"/>
        <v>0</v>
      </c>
      <c r="J38" s="412">
        <f t="shared" si="1"/>
        <v>0</v>
      </c>
      <c r="K38" s="443"/>
    </row>
    <row r="39" spans="1:11" ht="30.75" customHeight="1">
      <c r="A39" s="408"/>
      <c r="B39" s="444" t="s">
        <v>721</v>
      </c>
      <c r="C39" s="1464"/>
      <c r="D39" s="1465"/>
      <c r="E39" s="410">
        <v>1878428250</v>
      </c>
      <c r="F39" s="411">
        <f>F40+F41</f>
        <v>0</v>
      </c>
      <c r="G39" s="411">
        <f>G40+G41</f>
        <v>2035966000</v>
      </c>
      <c r="H39" s="411">
        <f>H40+H41</f>
        <v>0</v>
      </c>
      <c r="I39" s="410">
        <f t="shared" si="0"/>
        <v>2035966000</v>
      </c>
      <c r="J39" s="412">
        <f t="shared" si="1"/>
        <v>157537750</v>
      </c>
      <c r="K39" s="443"/>
    </row>
    <row r="40" spans="1:11" ht="25.5" customHeight="1">
      <c r="A40" s="408"/>
      <c r="B40" s="445"/>
      <c r="C40" s="1466" t="s">
        <v>722</v>
      </c>
      <c r="D40" s="1467"/>
      <c r="E40" s="410">
        <v>0</v>
      </c>
      <c r="F40" s="411">
        <v>0</v>
      </c>
      <c r="G40" s="416">
        <v>0</v>
      </c>
      <c r="H40" s="417">
        <v>0</v>
      </c>
      <c r="I40" s="410">
        <f t="shared" si="0"/>
        <v>0</v>
      </c>
      <c r="J40" s="412">
        <f t="shared" si="1"/>
        <v>0</v>
      </c>
      <c r="K40" s="443"/>
    </row>
    <row r="41" spans="1:11" ht="27.75" customHeight="1">
      <c r="A41" s="421"/>
      <c r="B41" s="395"/>
      <c r="C41" s="1470" t="s">
        <v>723</v>
      </c>
      <c r="D41" s="1471"/>
      <c r="E41" s="422">
        <v>1878428250</v>
      </c>
      <c r="F41" s="440">
        <v>0</v>
      </c>
      <c r="G41" s="446">
        <v>2035966000</v>
      </c>
      <c r="H41" s="425">
        <v>0</v>
      </c>
      <c r="I41" s="422">
        <f t="shared" si="0"/>
        <v>2035966000</v>
      </c>
      <c r="J41" s="426">
        <f t="shared" si="1"/>
        <v>157537750</v>
      </c>
      <c r="K41" s="441" t="s">
        <v>688</v>
      </c>
    </row>
    <row r="42" spans="1:11" ht="27" customHeight="1">
      <c r="A42" s="408" t="s">
        <v>724</v>
      </c>
      <c r="B42" s="402"/>
      <c r="C42" s="1462"/>
      <c r="D42" s="1463"/>
      <c r="E42" s="428">
        <v>20256358689</v>
      </c>
      <c r="F42" s="429">
        <f>F43+F45</f>
        <v>1761664800</v>
      </c>
      <c r="G42" s="430">
        <f>G43+G45</f>
        <v>1455013340</v>
      </c>
      <c r="H42" s="430">
        <f>H43+H45</f>
        <v>0</v>
      </c>
      <c r="I42" s="428">
        <f t="shared" si="0"/>
        <v>3216678140</v>
      </c>
      <c r="J42" s="406">
        <f t="shared" si="1"/>
        <v>-17039680549</v>
      </c>
      <c r="K42" s="407"/>
    </row>
    <row r="43" spans="1:11" ht="27" customHeight="1">
      <c r="A43" s="408"/>
      <c r="B43" s="409" t="s">
        <v>725</v>
      </c>
      <c r="C43" s="1464"/>
      <c r="D43" s="1465"/>
      <c r="E43" s="410">
        <v>2404233968</v>
      </c>
      <c r="F43" s="411">
        <f>F44</f>
        <v>1551748800</v>
      </c>
      <c r="G43" s="419">
        <f>G44</f>
        <v>1455013340</v>
      </c>
      <c r="H43" s="419">
        <f>H44</f>
        <v>0</v>
      </c>
      <c r="I43" s="410">
        <f t="shared" si="0"/>
        <v>3006762140</v>
      </c>
      <c r="J43" s="412">
        <f t="shared" si="1"/>
        <v>602528172</v>
      </c>
      <c r="K43" s="420"/>
    </row>
    <row r="44" spans="1:11" ht="27" customHeight="1">
      <c r="A44" s="408"/>
      <c r="B44" s="409"/>
      <c r="C44" s="1464" t="s">
        <v>726</v>
      </c>
      <c r="D44" s="1465"/>
      <c r="E44" s="410">
        <v>2404233968</v>
      </c>
      <c r="F44" s="447">
        <f>1286250000+265498800</f>
        <v>1551748800</v>
      </c>
      <c r="G44" s="431">
        <f>1139500000+315513340</f>
        <v>1455013340</v>
      </c>
      <c r="H44" s="417">
        <v>0</v>
      </c>
      <c r="I44" s="410">
        <f t="shared" si="0"/>
        <v>3006762140</v>
      </c>
      <c r="J44" s="412">
        <f t="shared" si="1"/>
        <v>602528172</v>
      </c>
      <c r="K44" s="420"/>
    </row>
    <row r="45" spans="1:11" ht="27" customHeight="1">
      <c r="A45" s="408"/>
      <c r="B45" s="414" t="s">
        <v>727</v>
      </c>
      <c r="C45" s="1464"/>
      <c r="D45" s="1465"/>
      <c r="E45" s="410">
        <v>17852124721</v>
      </c>
      <c r="F45" s="411">
        <f>F46</f>
        <v>209916000</v>
      </c>
      <c r="G45" s="419">
        <f>G46</f>
        <v>0</v>
      </c>
      <c r="H45" s="419">
        <f>H46</f>
        <v>0</v>
      </c>
      <c r="I45" s="410">
        <f t="shared" si="0"/>
        <v>209916000</v>
      </c>
      <c r="J45" s="412">
        <f t="shared" si="1"/>
        <v>-17642208721</v>
      </c>
      <c r="K45" s="420"/>
    </row>
    <row r="46" spans="1:11" ht="27" customHeight="1">
      <c r="A46" s="421"/>
      <c r="B46" s="395"/>
      <c r="C46" s="1460" t="s">
        <v>728</v>
      </c>
      <c r="D46" s="1461"/>
      <c r="E46" s="422">
        <v>17852124721</v>
      </c>
      <c r="F46" s="424">
        <v>209916000</v>
      </c>
      <c r="G46" s="448">
        <v>0</v>
      </c>
      <c r="H46" s="425">
        <v>0</v>
      </c>
      <c r="I46" s="422">
        <f t="shared" si="0"/>
        <v>209916000</v>
      </c>
      <c r="J46" s="426">
        <f t="shared" si="1"/>
        <v>-17642208721</v>
      </c>
      <c r="K46" s="449" t="s">
        <v>688</v>
      </c>
    </row>
    <row r="47" spans="1:11" ht="39" customHeight="1">
      <c r="A47" s="408" t="s">
        <v>729</v>
      </c>
      <c r="B47" s="402"/>
      <c r="C47" s="1462"/>
      <c r="D47" s="1463"/>
      <c r="E47" s="450">
        <v>8760447730</v>
      </c>
      <c r="F47" s="451">
        <f>F48+F52+F50</f>
        <v>0</v>
      </c>
      <c r="G47" s="451">
        <f>G48+G52+G50</f>
        <v>10174740636</v>
      </c>
      <c r="H47" s="451">
        <f>H48+H52+H50</f>
        <v>0</v>
      </c>
      <c r="I47" s="428">
        <f t="shared" si="0"/>
        <v>10174740636</v>
      </c>
      <c r="J47" s="406">
        <f t="shared" si="1"/>
        <v>1414292906</v>
      </c>
      <c r="K47" s="452"/>
    </row>
    <row r="48" spans="1:11" ht="30" customHeight="1">
      <c r="A48" s="408"/>
      <c r="B48" s="409" t="s">
        <v>730</v>
      </c>
      <c r="C48" s="1464"/>
      <c r="D48" s="1465"/>
      <c r="E48" s="410">
        <v>0</v>
      </c>
      <c r="F48" s="411">
        <f>SUM(F49)</f>
        <v>0</v>
      </c>
      <c r="G48" s="419">
        <f>SUM(G49)</f>
        <v>0</v>
      </c>
      <c r="H48" s="419">
        <f>SUM(H49)</f>
        <v>0</v>
      </c>
      <c r="I48" s="410">
        <f t="shared" si="0"/>
        <v>0</v>
      </c>
      <c r="J48" s="412">
        <f t="shared" si="1"/>
        <v>0</v>
      </c>
      <c r="K48" s="442"/>
    </row>
    <row r="49" spans="1:11" ht="36" customHeight="1">
      <c r="A49" s="408"/>
      <c r="B49" s="402"/>
      <c r="C49" s="1472" t="s">
        <v>731</v>
      </c>
      <c r="D49" s="1473"/>
      <c r="E49" s="410">
        <v>0</v>
      </c>
      <c r="F49" s="411">
        <v>0</v>
      </c>
      <c r="G49" s="416"/>
      <c r="H49" s="417">
        <v>0</v>
      </c>
      <c r="I49" s="410">
        <f t="shared" si="0"/>
        <v>0</v>
      </c>
      <c r="J49" s="412">
        <f t="shared" si="1"/>
        <v>0</v>
      </c>
      <c r="K49" s="442"/>
    </row>
    <row r="50" spans="1:11" ht="26.25" customHeight="1">
      <c r="A50" s="408"/>
      <c r="B50" s="414" t="s">
        <v>732</v>
      </c>
      <c r="C50" s="1464"/>
      <c r="D50" s="1465"/>
      <c r="E50" s="410">
        <v>40000000</v>
      </c>
      <c r="F50" s="411">
        <f>SUM(F51)</f>
        <v>0</v>
      </c>
      <c r="G50" s="419">
        <f>SUM(G51)</f>
        <v>0</v>
      </c>
      <c r="H50" s="419">
        <f>SUM(H51)</f>
        <v>0</v>
      </c>
      <c r="I50" s="410">
        <f t="shared" si="0"/>
        <v>0</v>
      </c>
      <c r="J50" s="412">
        <f t="shared" si="1"/>
        <v>-40000000</v>
      </c>
      <c r="K50" s="442"/>
    </row>
    <row r="51" spans="1:11" ht="30" customHeight="1">
      <c r="A51" s="408"/>
      <c r="B51" s="402"/>
      <c r="C51" s="1464" t="s">
        <v>733</v>
      </c>
      <c r="D51" s="1465"/>
      <c r="E51" s="410">
        <v>40000000</v>
      </c>
      <c r="F51" s="411">
        <v>0</v>
      </c>
      <c r="G51" s="416"/>
      <c r="H51" s="417">
        <v>0</v>
      </c>
      <c r="I51" s="410">
        <f t="shared" si="0"/>
        <v>0</v>
      </c>
      <c r="J51" s="419">
        <f t="shared" si="1"/>
        <v>-40000000</v>
      </c>
      <c r="K51" s="442"/>
    </row>
    <row r="52" spans="1:11" ht="36" customHeight="1">
      <c r="A52" s="408"/>
      <c r="B52" s="453" t="s">
        <v>734</v>
      </c>
      <c r="C52" s="1472"/>
      <c r="D52" s="1473"/>
      <c r="E52" s="450">
        <v>8720447730</v>
      </c>
      <c r="F52" s="451">
        <f>SUM(F53:F56)</f>
        <v>0</v>
      </c>
      <c r="G52" s="451">
        <f>SUM(G53:G56)</f>
        <v>10174740636</v>
      </c>
      <c r="H52" s="451">
        <f>SUM(H53:H56)</f>
        <v>0</v>
      </c>
      <c r="I52" s="410">
        <f t="shared" si="0"/>
        <v>10174740636</v>
      </c>
      <c r="J52" s="412">
        <f t="shared" si="1"/>
        <v>1454292906</v>
      </c>
      <c r="K52" s="442"/>
    </row>
    <row r="53" spans="1:11" ht="26.25" customHeight="1">
      <c r="A53" s="408"/>
      <c r="B53" s="409"/>
      <c r="C53" s="1474" t="s">
        <v>735</v>
      </c>
      <c r="D53" s="1475"/>
      <c r="E53" s="410">
        <v>0</v>
      </c>
      <c r="F53" s="411">
        <v>0</v>
      </c>
      <c r="G53" s="416">
        <v>0</v>
      </c>
      <c r="H53" s="417">
        <v>0</v>
      </c>
      <c r="I53" s="410">
        <f t="shared" si="0"/>
        <v>0</v>
      </c>
      <c r="J53" s="412">
        <f t="shared" si="1"/>
        <v>0</v>
      </c>
      <c r="K53" s="442"/>
    </row>
    <row r="54" spans="1:11" ht="26.25" customHeight="1">
      <c r="A54" s="408"/>
      <c r="B54" s="409"/>
      <c r="C54" s="1474" t="s">
        <v>736</v>
      </c>
      <c r="D54" s="1475"/>
      <c r="E54" s="410">
        <v>8720447730</v>
      </c>
      <c r="F54" s="411">
        <v>0</v>
      </c>
      <c r="G54" s="454">
        <v>10174740636</v>
      </c>
      <c r="H54" s="417">
        <v>0</v>
      </c>
      <c r="I54" s="410">
        <f t="shared" si="0"/>
        <v>10174740636</v>
      </c>
      <c r="J54" s="419">
        <f t="shared" si="1"/>
        <v>1454292906</v>
      </c>
      <c r="K54" s="442"/>
    </row>
    <row r="55" spans="1:11" ht="26.25" customHeight="1">
      <c r="A55" s="408"/>
      <c r="B55" s="409"/>
      <c r="C55" s="1474" t="s">
        <v>737</v>
      </c>
      <c r="D55" s="1475"/>
      <c r="E55" s="410"/>
      <c r="F55" s="411"/>
      <c r="G55" s="455">
        <v>0</v>
      </c>
      <c r="H55" s="417">
        <v>0</v>
      </c>
      <c r="I55" s="410">
        <f t="shared" si="0"/>
        <v>0</v>
      </c>
      <c r="J55" s="419"/>
      <c r="K55" s="442"/>
    </row>
    <row r="56" spans="1:11" ht="26.25" customHeight="1">
      <c r="A56" s="421"/>
      <c r="B56" s="395"/>
      <c r="C56" s="1476" t="s">
        <v>738</v>
      </c>
      <c r="D56" s="1477"/>
      <c r="E56" s="396">
        <v>0</v>
      </c>
      <c r="F56" s="397"/>
      <c r="G56" s="456">
        <v>0</v>
      </c>
      <c r="H56" s="457">
        <v>0</v>
      </c>
      <c r="I56" s="396">
        <f t="shared" si="0"/>
        <v>0</v>
      </c>
      <c r="J56" s="398">
        <f>I56-E56</f>
        <v>0</v>
      </c>
      <c r="K56" s="458"/>
    </row>
    <row r="57" spans="1:11" ht="36" customHeight="1">
      <c r="A57" s="459" t="s">
        <v>739</v>
      </c>
      <c r="B57" s="402"/>
      <c r="C57" s="1462"/>
      <c r="D57" s="1463"/>
      <c r="E57" s="428">
        <v>0</v>
      </c>
      <c r="F57" s="429">
        <f>SUM(F58)</f>
        <v>0</v>
      </c>
      <c r="G57" s="430">
        <f>SUM(G58)</f>
        <v>0</v>
      </c>
      <c r="H57" s="430">
        <f>SUM(H58)</f>
        <v>0</v>
      </c>
      <c r="I57" s="428">
        <f t="shared" si="0"/>
        <v>0</v>
      </c>
      <c r="J57" s="406">
        <f t="shared" si="1"/>
        <v>0</v>
      </c>
      <c r="K57" s="452"/>
    </row>
    <row r="58" spans="1:11" ht="32.25" customHeight="1">
      <c r="A58" s="408"/>
      <c r="B58" s="445" t="s">
        <v>740</v>
      </c>
      <c r="C58" s="1464"/>
      <c r="D58" s="1465"/>
      <c r="E58" s="410">
        <v>0</v>
      </c>
      <c r="F58" s="411">
        <f>SUM(F59:F62)</f>
        <v>0</v>
      </c>
      <c r="G58" s="419">
        <f>SUM(G59:G62)</f>
        <v>0</v>
      </c>
      <c r="H58" s="419">
        <f>SUM(H59:H62)</f>
        <v>0</v>
      </c>
      <c r="I58" s="410">
        <f t="shared" si="0"/>
        <v>0</v>
      </c>
      <c r="J58" s="412">
        <f t="shared" si="1"/>
        <v>0</v>
      </c>
      <c r="K58" s="442"/>
    </row>
    <row r="59" spans="1:11" ht="24.75" customHeight="1">
      <c r="A59" s="408"/>
      <c r="B59" s="409"/>
      <c r="C59" s="1466" t="s">
        <v>741</v>
      </c>
      <c r="D59" s="1467"/>
      <c r="E59" s="410">
        <v>0</v>
      </c>
      <c r="F59" s="411">
        <v>0</v>
      </c>
      <c r="G59" s="416"/>
      <c r="H59" s="417"/>
      <c r="I59" s="410">
        <f t="shared" si="0"/>
        <v>0</v>
      </c>
      <c r="J59" s="412">
        <f t="shared" si="1"/>
        <v>0</v>
      </c>
      <c r="K59" s="442"/>
    </row>
    <row r="60" spans="1:11" ht="24.75" customHeight="1">
      <c r="A60" s="408"/>
      <c r="B60" s="409"/>
      <c r="C60" s="1466" t="s">
        <v>742</v>
      </c>
      <c r="D60" s="1467"/>
      <c r="E60" s="410">
        <v>0</v>
      </c>
      <c r="F60" s="411">
        <v>0</v>
      </c>
      <c r="G60" s="416"/>
      <c r="H60" s="417"/>
      <c r="I60" s="410">
        <f t="shared" si="0"/>
        <v>0</v>
      </c>
      <c r="J60" s="412">
        <f t="shared" si="1"/>
        <v>0</v>
      </c>
      <c r="K60" s="443"/>
    </row>
    <row r="61" spans="1:11" ht="24.75" customHeight="1">
      <c r="A61" s="408"/>
      <c r="B61" s="409"/>
      <c r="C61" s="1464" t="s">
        <v>743</v>
      </c>
      <c r="D61" s="1465"/>
      <c r="E61" s="410">
        <v>0</v>
      </c>
      <c r="F61" s="411">
        <v>0</v>
      </c>
      <c r="G61" s="416"/>
      <c r="H61" s="417"/>
      <c r="I61" s="410">
        <f t="shared" si="0"/>
        <v>0</v>
      </c>
      <c r="J61" s="412">
        <f t="shared" si="1"/>
        <v>0</v>
      </c>
      <c r="K61" s="442"/>
    </row>
    <row r="62" spans="1:11" ht="24.75" customHeight="1">
      <c r="A62" s="421"/>
      <c r="B62" s="395"/>
      <c r="C62" s="1468" t="s">
        <v>744</v>
      </c>
      <c r="D62" s="1469"/>
      <c r="E62" s="422">
        <v>0</v>
      </c>
      <c r="F62" s="440">
        <v>0</v>
      </c>
      <c r="G62" s="448"/>
      <c r="H62" s="425"/>
      <c r="I62" s="422">
        <f t="shared" si="0"/>
        <v>0</v>
      </c>
      <c r="J62" s="426">
        <f t="shared" si="1"/>
        <v>0</v>
      </c>
      <c r="K62" s="458"/>
    </row>
    <row r="63" spans="1:11" ht="33" customHeight="1">
      <c r="A63" s="460" t="s">
        <v>745</v>
      </c>
      <c r="B63" s="461" t="s">
        <v>688</v>
      </c>
      <c r="C63" s="1478"/>
      <c r="D63" s="1479"/>
      <c r="E63" s="462">
        <v>552800000</v>
      </c>
      <c r="F63" s="463">
        <f>SUM(F64,F66)</f>
        <v>0</v>
      </c>
      <c r="G63" s="463">
        <f>SUM(G64,G66)</f>
        <v>100400000</v>
      </c>
      <c r="H63" s="463">
        <f>SUM(H64,H66)</f>
        <v>0</v>
      </c>
      <c r="I63" s="436">
        <f t="shared" si="0"/>
        <v>100400000</v>
      </c>
      <c r="J63" s="412">
        <f t="shared" si="1"/>
        <v>-452400000</v>
      </c>
      <c r="K63" s="464"/>
    </row>
    <row r="64" spans="1:11" ht="24.75" customHeight="1">
      <c r="A64" s="408"/>
      <c r="B64" s="465" t="s">
        <v>746</v>
      </c>
      <c r="C64" s="1480" t="s">
        <v>688</v>
      </c>
      <c r="D64" s="1481"/>
      <c r="E64" s="410">
        <v>0</v>
      </c>
      <c r="F64" s="411">
        <f>SUM(F65)</f>
        <v>0</v>
      </c>
      <c r="G64" s="411">
        <f>SUM(G65)</f>
        <v>0</v>
      </c>
      <c r="H64" s="417">
        <f>SUM(H65)</f>
        <v>0</v>
      </c>
      <c r="I64" s="410">
        <f t="shared" si="0"/>
        <v>0</v>
      </c>
      <c r="J64" s="419">
        <f t="shared" si="1"/>
        <v>0</v>
      </c>
      <c r="K64" s="442"/>
    </row>
    <row r="65" spans="1:11" ht="27.75" customHeight="1">
      <c r="A65" s="408"/>
      <c r="B65" s="466"/>
      <c r="C65" s="1480" t="s">
        <v>747</v>
      </c>
      <c r="D65" s="1481"/>
      <c r="E65" s="410">
        <v>0</v>
      </c>
      <c r="F65" s="411">
        <v>0</v>
      </c>
      <c r="G65" s="411">
        <v>0</v>
      </c>
      <c r="H65" s="417">
        <v>0</v>
      </c>
      <c r="I65" s="410">
        <f t="shared" si="0"/>
        <v>0</v>
      </c>
      <c r="J65" s="419">
        <f t="shared" si="1"/>
        <v>0</v>
      </c>
      <c r="K65" s="442"/>
    </row>
    <row r="66" spans="1:11" ht="27" customHeight="1">
      <c r="A66" s="467"/>
      <c r="B66" s="402" t="s">
        <v>748</v>
      </c>
      <c r="C66" s="1464"/>
      <c r="D66" s="1465"/>
      <c r="E66" s="428">
        <v>552800000</v>
      </c>
      <c r="F66" s="429">
        <f>SUM(F67)</f>
        <v>0</v>
      </c>
      <c r="G66" s="430">
        <f>SUM(G67)</f>
        <v>100400000</v>
      </c>
      <c r="H66" s="430">
        <f>SUM(H67)</f>
        <v>0</v>
      </c>
      <c r="I66" s="410">
        <f t="shared" si="0"/>
        <v>100400000</v>
      </c>
      <c r="J66" s="406">
        <f t="shared" si="1"/>
        <v>-452400000</v>
      </c>
      <c r="K66" s="452"/>
    </row>
    <row r="67" spans="1:11" ht="27" customHeight="1">
      <c r="A67" s="421"/>
      <c r="B67" s="468"/>
      <c r="C67" s="1460" t="s">
        <v>749</v>
      </c>
      <c r="D67" s="1461"/>
      <c r="E67" s="396">
        <v>552800000</v>
      </c>
      <c r="F67" s="437">
        <v>0</v>
      </c>
      <c r="G67" s="448">
        <v>100400000</v>
      </c>
      <c r="H67" s="425">
        <v>0</v>
      </c>
      <c r="I67" s="396">
        <f t="shared" si="0"/>
        <v>100400000</v>
      </c>
      <c r="J67" s="426">
        <f t="shared" si="1"/>
        <v>-452400000</v>
      </c>
      <c r="K67" s="469"/>
    </row>
    <row r="68" spans="1:11" ht="23.25" customHeight="1">
      <c r="A68" s="470" t="s">
        <v>750</v>
      </c>
      <c r="B68" s="471" t="s">
        <v>751</v>
      </c>
      <c r="C68" s="1482" t="s">
        <v>751</v>
      </c>
      <c r="D68" s="1483"/>
      <c r="E68" s="472">
        <v>37283243624</v>
      </c>
      <c r="F68" s="473">
        <f>3636195017+23143751816</f>
        <v>26779946833</v>
      </c>
      <c r="G68" s="474">
        <f>-4521196446+8951569433</f>
        <v>4430372987</v>
      </c>
      <c r="H68" s="474">
        <v>0</v>
      </c>
      <c r="I68" s="472">
        <f t="shared" si="0"/>
        <v>31210319820</v>
      </c>
      <c r="J68" s="474">
        <f t="shared" si="1"/>
        <v>-6072923804</v>
      </c>
      <c r="K68" s="475"/>
    </row>
    <row r="69" spans="1:11" ht="27" customHeight="1">
      <c r="A69" s="408"/>
      <c r="B69" s="409" t="s">
        <v>752</v>
      </c>
      <c r="C69" s="1462"/>
      <c r="D69" s="1463"/>
      <c r="E69" s="450">
        <f>SUM(E70)</f>
        <v>37283243624</v>
      </c>
      <c r="F69" s="429">
        <f>SUM(F70:F71)</f>
        <v>0</v>
      </c>
      <c r="G69" s="476"/>
      <c r="H69" s="477"/>
      <c r="I69" s="428">
        <v>1210319820</v>
      </c>
      <c r="J69" s="406">
        <f t="shared" si="1"/>
        <v>-36072923804</v>
      </c>
      <c r="K69" s="407"/>
    </row>
    <row r="70" spans="1:11" ht="27" customHeight="1">
      <c r="A70" s="408"/>
      <c r="B70" s="409"/>
      <c r="C70" s="1464" t="s">
        <v>753</v>
      </c>
      <c r="D70" s="1465"/>
      <c r="E70" s="450">
        <v>37283243624</v>
      </c>
      <c r="F70" s="411">
        <v>0</v>
      </c>
      <c r="G70" s="416"/>
      <c r="H70" s="417"/>
      <c r="I70" s="410">
        <v>31210319820</v>
      </c>
      <c r="J70" s="412">
        <f t="shared" si="1"/>
        <v>-6072923804</v>
      </c>
      <c r="K70" s="420"/>
    </row>
    <row r="71" spans="1:11" ht="27" customHeight="1">
      <c r="A71" s="408"/>
      <c r="B71" s="402"/>
      <c r="C71" s="1464" t="s">
        <v>754</v>
      </c>
      <c r="D71" s="1465"/>
      <c r="E71" s="450">
        <v>0</v>
      </c>
      <c r="F71" s="411">
        <v>0</v>
      </c>
      <c r="G71" s="416"/>
      <c r="H71" s="417"/>
      <c r="I71" s="410">
        <f>SUM(F71+G71-H71)</f>
        <v>0</v>
      </c>
      <c r="J71" s="412">
        <f>I71-E71</f>
        <v>0</v>
      </c>
      <c r="K71" s="442"/>
    </row>
    <row r="72" spans="1:11" ht="30" customHeight="1">
      <c r="A72" s="408"/>
      <c r="B72" s="409" t="s">
        <v>755</v>
      </c>
      <c r="C72" s="1464"/>
      <c r="D72" s="1465"/>
      <c r="E72" s="450">
        <v>0</v>
      </c>
      <c r="F72" s="411">
        <f>SUM(F73:F75)</f>
        <v>0</v>
      </c>
      <c r="G72" s="416"/>
      <c r="H72" s="417"/>
      <c r="I72" s="410">
        <f>SUM(F72+G72-H72)</f>
        <v>0</v>
      </c>
      <c r="J72" s="412">
        <f>I72-E72</f>
        <v>0</v>
      </c>
      <c r="K72" s="452"/>
    </row>
    <row r="73" spans="1:11" ht="24" customHeight="1">
      <c r="A73" s="408"/>
      <c r="B73" s="409"/>
      <c r="C73" s="1464" t="s">
        <v>756</v>
      </c>
      <c r="D73" s="1465"/>
      <c r="E73" s="450">
        <v>0</v>
      </c>
      <c r="F73" s="411">
        <v>0</v>
      </c>
      <c r="G73" s="416"/>
      <c r="H73" s="417"/>
      <c r="I73" s="410">
        <f>SUM(F73+G73-H73)</f>
        <v>0</v>
      </c>
      <c r="J73" s="412">
        <f>I73-E73</f>
        <v>0</v>
      </c>
      <c r="K73" s="442"/>
    </row>
    <row r="74" spans="1:11" ht="26.25" customHeight="1">
      <c r="A74" s="478"/>
      <c r="B74" s="409"/>
      <c r="C74" s="1464" t="s">
        <v>757</v>
      </c>
      <c r="D74" s="1465"/>
      <c r="E74" s="450">
        <v>0</v>
      </c>
      <c r="F74" s="411">
        <v>0</v>
      </c>
      <c r="G74" s="416"/>
      <c r="H74" s="417"/>
      <c r="I74" s="410">
        <f>SUM(F74+G74-H74)</f>
        <v>0</v>
      </c>
      <c r="J74" s="412">
        <f>I74-E74</f>
        <v>0</v>
      </c>
      <c r="K74" s="442"/>
    </row>
    <row r="75" spans="1:11" ht="21.75" customHeight="1">
      <c r="A75" s="479"/>
      <c r="B75" s="395"/>
      <c r="C75" s="1460" t="s">
        <v>758</v>
      </c>
      <c r="D75" s="1461"/>
      <c r="E75" s="480">
        <v>0</v>
      </c>
      <c r="F75" s="440">
        <v>0</v>
      </c>
      <c r="G75" s="448"/>
      <c r="H75" s="425"/>
      <c r="I75" s="422">
        <f>SUM(F75+G75-H75)</f>
        <v>0</v>
      </c>
      <c r="J75" s="412">
        <f>I75-E75</f>
        <v>0</v>
      </c>
      <c r="K75" s="458"/>
    </row>
    <row r="76" spans="1:11" ht="20.25" customHeight="1">
      <c r="A76" s="481"/>
      <c r="B76" s="481"/>
      <c r="C76" s="481"/>
      <c r="D76" s="481"/>
      <c r="E76" s="482"/>
      <c r="F76" s="483"/>
      <c r="G76" s="482"/>
      <c r="H76" s="482"/>
      <c r="I76" s="482"/>
      <c r="J76" s="484" t="s">
        <v>688</v>
      </c>
      <c r="K76" s="485"/>
    </row>
    <row r="77" spans="1:11" ht="20.25" customHeight="1">
      <c r="A77" s="481"/>
      <c r="B77" s="481"/>
      <c r="C77" s="481"/>
      <c r="D77" s="481"/>
      <c r="E77" s="482"/>
      <c r="F77" s="483"/>
      <c r="G77" s="482"/>
      <c r="H77" s="482"/>
      <c r="I77" s="482"/>
      <c r="J77" s="482"/>
      <c r="K77" s="485"/>
    </row>
    <row r="78" spans="1:11" ht="20.25" customHeight="1">
      <c r="A78" s="481"/>
      <c r="B78" s="481"/>
      <c r="C78" s="481"/>
      <c r="D78" s="481"/>
      <c r="E78" s="482"/>
      <c r="F78" s="483"/>
      <c r="G78" s="482"/>
      <c r="H78" s="482"/>
      <c r="I78" s="482"/>
      <c r="J78" s="482"/>
      <c r="K78" s="485"/>
    </row>
    <row r="79" spans="1:11" ht="20.25" customHeight="1">
      <c r="A79" s="481"/>
      <c r="B79" s="481"/>
      <c r="C79" s="481"/>
      <c r="D79" s="481"/>
      <c r="E79" s="482"/>
      <c r="F79" s="483"/>
      <c r="G79" s="482"/>
      <c r="H79" s="482"/>
      <c r="I79" s="482"/>
      <c r="J79" s="482"/>
      <c r="K79" s="485"/>
    </row>
    <row r="80" spans="1:11" ht="20.25" customHeight="1">
      <c r="A80" s="481"/>
      <c r="B80" s="481"/>
      <c r="C80" s="481"/>
      <c r="D80" s="481"/>
      <c r="E80" s="482"/>
      <c r="F80" s="483"/>
      <c r="G80" s="482"/>
      <c r="H80" s="482"/>
      <c r="I80" s="482"/>
      <c r="J80" s="482"/>
      <c r="K80" s="485"/>
    </row>
    <row r="81" spans="1:11" ht="20.25" customHeight="1">
      <c r="A81" s="481"/>
      <c r="B81" s="481"/>
      <c r="C81" s="481"/>
      <c r="D81" s="481"/>
      <c r="E81" s="482"/>
      <c r="F81" s="483"/>
      <c r="G81" s="482"/>
      <c r="H81" s="482"/>
      <c r="I81" s="482"/>
      <c r="J81" s="482"/>
      <c r="K81" s="485"/>
    </row>
    <row r="82" spans="1:11" ht="20.25" customHeight="1">
      <c r="A82" s="481"/>
      <c r="B82" s="481"/>
      <c r="C82" s="481"/>
      <c r="D82" s="481"/>
      <c r="E82" s="482"/>
      <c r="F82" s="483"/>
      <c r="G82" s="482"/>
      <c r="H82" s="482"/>
      <c r="I82" s="482"/>
      <c r="J82" s="482"/>
      <c r="K82" s="485"/>
    </row>
    <row r="83" spans="1:11" ht="20.25" customHeight="1">
      <c r="A83" s="481"/>
      <c r="B83" s="481"/>
      <c r="C83" s="481"/>
      <c r="D83" s="481"/>
      <c r="E83" s="482"/>
      <c r="F83" s="483"/>
      <c r="G83" s="482"/>
      <c r="H83" s="482"/>
      <c r="I83" s="482"/>
      <c r="J83" s="482"/>
      <c r="K83" s="485"/>
    </row>
    <row r="84" spans="1:11" ht="20.25" customHeight="1">
      <c r="A84" s="481"/>
      <c r="B84" s="481"/>
      <c r="C84" s="481"/>
      <c r="D84" s="481"/>
      <c r="E84" s="482"/>
      <c r="F84" s="483"/>
      <c r="G84" s="482"/>
      <c r="H84" s="482"/>
      <c r="I84" s="482"/>
      <c r="J84" s="482"/>
      <c r="K84" s="485"/>
    </row>
    <row r="85" spans="1:11" ht="20.25" customHeight="1">
      <c r="A85" s="481"/>
      <c r="B85" s="481"/>
      <c r="C85" s="481"/>
      <c r="D85" s="481"/>
      <c r="E85" s="482"/>
      <c r="F85" s="483"/>
      <c r="G85" s="482"/>
      <c r="H85" s="482"/>
      <c r="I85" s="482"/>
      <c r="J85" s="482"/>
      <c r="K85" s="485"/>
    </row>
    <row r="86" spans="1:11" ht="20.25" customHeight="1">
      <c r="A86" s="481"/>
      <c r="B86" s="481"/>
      <c r="C86" s="481"/>
      <c r="D86" s="481"/>
      <c r="E86" s="482"/>
      <c r="F86" s="483"/>
      <c r="G86" s="482"/>
      <c r="H86" s="482"/>
      <c r="I86" s="482"/>
      <c r="J86" s="482"/>
      <c r="K86" s="485"/>
    </row>
    <row r="87" spans="1:11" ht="20.25" customHeight="1">
      <c r="A87" s="481"/>
      <c r="B87" s="481"/>
      <c r="C87" s="481"/>
      <c r="D87" s="481"/>
      <c r="E87" s="482"/>
      <c r="F87" s="483"/>
      <c r="G87" s="482"/>
      <c r="H87" s="482"/>
      <c r="I87" s="482"/>
      <c r="J87" s="482"/>
      <c r="K87" s="486"/>
    </row>
    <row r="88" spans="1:11" ht="20.25" customHeight="1">
      <c r="A88" s="481"/>
      <c r="B88" s="481"/>
      <c r="C88" s="481"/>
      <c r="D88" s="481"/>
      <c r="E88" s="482"/>
      <c r="F88" s="483"/>
      <c r="G88" s="482"/>
      <c r="H88" s="482"/>
      <c r="I88" s="482"/>
      <c r="J88" s="482"/>
      <c r="K88" s="486"/>
    </row>
    <row r="89" spans="1:11" ht="20.25" customHeight="1">
      <c r="A89" s="481"/>
      <c r="B89" s="481"/>
      <c r="C89" s="481"/>
      <c r="D89" s="481"/>
      <c r="E89" s="482"/>
      <c r="F89" s="483"/>
      <c r="G89" s="482"/>
      <c r="H89" s="482"/>
      <c r="I89" s="482"/>
      <c r="J89" s="482"/>
      <c r="K89" s="486"/>
    </row>
    <row r="90" spans="1:11" ht="20.25" customHeight="1">
      <c r="A90" s="481"/>
      <c r="B90" s="481"/>
      <c r="C90" s="481"/>
      <c r="D90" s="481"/>
      <c r="E90" s="482"/>
      <c r="F90" s="483"/>
      <c r="G90" s="482"/>
      <c r="H90" s="482"/>
      <c r="I90" s="482"/>
      <c r="J90" s="482"/>
      <c r="K90" s="486"/>
    </row>
    <row r="91" spans="1:11" ht="20.25" customHeight="1">
      <c r="A91" s="481"/>
      <c r="B91" s="481"/>
      <c r="C91" s="481"/>
      <c r="D91" s="481"/>
      <c r="E91" s="482"/>
      <c r="F91" s="483"/>
      <c r="G91" s="482"/>
      <c r="H91" s="482"/>
      <c r="I91" s="482"/>
      <c r="J91" s="482"/>
      <c r="K91" s="486"/>
    </row>
    <row r="92" spans="1:11" ht="20.25" customHeight="1">
      <c r="A92" s="481"/>
      <c r="B92" s="481"/>
      <c r="C92" s="481"/>
      <c r="D92" s="481"/>
      <c r="E92" s="482"/>
      <c r="F92" s="483"/>
      <c r="G92" s="482"/>
      <c r="H92" s="482"/>
      <c r="I92" s="482"/>
      <c r="J92" s="482"/>
      <c r="K92" s="486"/>
    </row>
    <row r="93" spans="1:11" ht="20.25" customHeight="1">
      <c r="A93" s="481"/>
      <c r="B93" s="481"/>
      <c r="C93" s="481"/>
      <c r="D93" s="481"/>
      <c r="E93" s="482"/>
      <c r="F93" s="483"/>
      <c r="G93" s="482"/>
      <c r="H93" s="482"/>
      <c r="I93" s="482"/>
      <c r="J93" s="482"/>
      <c r="K93" s="486"/>
    </row>
    <row r="94" spans="1:11" ht="20.25" customHeight="1">
      <c r="A94" s="481"/>
      <c r="B94" s="481"/>
      <c r="C94" s="481"/>
      <c r="D94" s="481"/>
      <c r="E94" s="482"/>
      <c r="F94" s="483"/>
      <c r="G94" s="482"/>
      <c r="H94" s="482"/>
      <c r="I94" s="482"/>
      <c r="J94" s="482"/>
      <c r="K94" s="486"/>
    </row>
    <row r="95" spans="1:11" ht="20.25" customHeight="1">
      <c r="A95" s="481"/>
      <c r="B95" s="481"/>
      <c r="C95" s="481"/>
      <c r="D95" s="481"/>
      <c r="E95" s="482"/>
      <c r="F95" s="483"/>
      <c r="G95" s="482"/>
      <c r="H95" s="482"/>
      <c r="I95" s="482"/>
      <c r="J95" s="482"/>
      <c r="K95" s="486"/>
    </row>
    <row r="96" spans="1:11" ht="20.25" customHeight="1">
      <c r="A96" s="481"/>
      <c r="B96" s="481"/>
      <c r="C96" s="481"/>
      <c r="D96" s="481"/>
      <c r="E96" s="482"/>
      <c r="F96" s="483"/>
      <c r="G96" s="482"/>
      <c r="H96" s="482"/>
      <c r="I96" s="482"/>
      <c r="J96" s="482"/>
      <c r="K96" s="486"/>
    </row>
    <row r="97" spans="1:11" ht="20.25" customHeight="1">
      <c r="A97" s="481"/>
      <c r="B97" s="481"/>
      <c r="C97" s="481"/>
      <c r="D97" s="481"/>
      <c r="E97" s="482"/>
      <c r="F97" s="483"/>
      <c r="G97" s="482"/>
      <c r="H97" s="482"/>
      <c r="I97" s="482"/>
      <c r="J97" s="482"/>
      <c r="K97" s="486"/>
    </row>
    <row r="98" spans="1:11" ht="20.25" customHeight="1">
      <c r="A98" s="481"/>
      <c r="B98" s="481"/>
      <c r="C98" s="481"/>
      <c r="D98" s="481"/>
      <c r="E98" s="482"/>
      <c r="F98" s="483"/>
      <c r="G98" s="482"/>
      <c r="H98" s="482"/>
      <c r="I98" s="482"/>
      <c r="J98" s="482"/>
      <c r="K98" s="486"/>
    </row>
    <row r="99" spans="1:11" ht="20.25" customHeight="1">
      <c r="A99" s="481"/>
      <c r="B99" s="481"/>
      <c r="C99" s="481"/>
      <c r="D99" s="481"/>
      <c r="E99" s="482"/>
      <c r="F99" s="483"/>
      <c r="G99" s="482"/>
      <c r="H99" s="482"/>
      <c r="I99" s="482"/>
      <c r="J99" s="482"/>
      <c r="K99" s="486"/>
    </row>
    <row r="100" spans="1:10" ht="20.25" customHeight="1">
      <c r="A100" s="487"/>
      <c r="B100" s="487"/>
      <c r="C100" s="487"/>
      <c r="D100" s="487"/>
      <c r="E100" s="488"/>
      <c r="F100" s="489"/>
      <c r="G100" s="488"/>
      <c r="H100" s="488"/>
      <c r="I100" s="488"/>
      <c r="J100" s="488"/>
    </row>
    <row r="101" spans="1:10" ht="20.25" customHeight="1">
      <c r="A101" s="487"/>
      <c r="B101" s="487"/>
      <c r="C101" s="487"/>
      <c r="D101" s="487"/>
      <c r="E101" s="488"/>
      <c r="F101" s="489"/>
      <c r="G101" s="488"/>
      <c r="H101" s="488"/>
      <c r="I101" s="488"/>
      <c r="J101" s="488"/>
    </row>
    <row r="102" spans="1:10" ht="20.25" customHeight="1">
      <c r="A102" s="487"/>
      <c r="B102" s="487"/>
      <c r="C102" s="487"/>
      <c r="D102" s="487"/>
      <c r="E102" s="488"/>
      <c r="F102" s="489"/>
      <c r="G102" s="488"/>
      <c r="H102" s="488"/>
      <c r="I102" s="488"/>
      <c r="J102" s="488"/>
    </row>
    <row r="103" spans="1:10" ht="20.25" customHeight="1">
      <c r="A103" s="487"/>
      <c r="B103" s="487"/>
      <c r="C103" s="487"/>
      <c r="D103" s="487"/>
      <c r="E103" s="488"/>
      <c r="F103" s="489"/>
      <c r="G103" s="488"/>
      <c r="H103" s="488"/>
      <c r="I103" s="488"/>
      <c r="J103" s="488"/>
    </row>
    <row r="104" spans="1:10" ht="20.25" customHeight="1">
      <c r="A104" s="487"/>
      <c r="B104" s="487"/>
      <c r="C104" s="487"/>
      <c r="D104" s="487"/>
      <c r="E104" s="488"/>
      <c r="F104" s="489"/>
      <c r="G104" s="488"/>
      <c r="H104" s="488"/>
      <c r="I104" s="488"/>
      <c r="J104" s="488"/>
    </row>
    <row r="105" spans="1:10" ht="20.25" customHeight="1">
      <c r="A105" s="487"/>
      <c r="B105" s="487"/>
      <c r="C105" s="487"/>
      <c r="D105" s="487"/>
      <c r="E105" s="488"/>
      <c r="F105" s="489"/>
      <c r="G105" s="488"/>
      <c r="H105" s="488"/>
      <c r="I105" s="488"/>
      <c r="J105" s="488"/>
    </row>
    <row r="106" spans="1:10" ht="20.25" customHeight="1">
      <c r="A106" s="487"/>
      <c r="B106" s="487"/>
      <c r="C106" s="487"/>
      <c r="D106" s="487"/>
      <c r="E106" s="488"/>
      <c r="F106" s="489"/>
      <c r="G106" s="488"/>
      <c r="H106" s="488"/>
      <c r="I106" s="488"/>
      <c r="J106" s="488"/>
    </row>
    <row r="107" spans="1:10" ht="20.25" customHeight="1">
      <c r="A107" s="487"/>
      <c r="B107" s="487"/>
      <c r="C107" s="487"/>
      <c r="D107" s="487"/>
      <c r="E107" s="488"/>
      <c r="F107" s="489"/>
      <c r="G107" s="488"/>
      <c r="H107" s="488"/>
      <c r="I107" s="488"/>
      <c r="J107" s="488"/>
    </row>
    <row r="108" spans="1:10" ht="20.25" customHeight="1">
      <c r="A108" s="487"/>
      <c r="B108" s="487"/>
      <c r="C108" s="487"/>
      <c r="D108" s="487"/>
      <c r="E108" s="488"/>
      <c r="F108" s="489"/>
      <c r="G108" s="488"/>
      <c r="H108" s="488"/>
      <c r="I108" s="488"/>
      <c r="J108" s="488"/>
    </row>
    <row r="109" spans="1:10" ht="20.25" customHeight="1">
      <c r="A109" s="487"/>
      <c r="B109" s="487"/>
      <c r="C109" s="487"/>
      <c r="D109" s="487"/>
      <c r="E109" s="488"/>
      <c r="F109" s="489"/>
      <c r="G109" s="488"/>
      <c r="H109" s="488"/>
      <c r="I109" s="488"/>
      <c r="J109" s="488"/>
    </row>
    <row r="110" spans="1:10" ht="20.25" customHeight="1">
      <c r="A110" s="487"/>
      <c r="B110" s="487"/>
      <c r="C110" s="487"/>
      <c r="D110" s="487"/>
      <c r="E110" s="488"/>
      <c r="F110" s="489"/>
      <c r="G110" s="488"/>
      <c r="H110" s="488"/>
      <c r="I110" s="488"/>
      <c r="J110" s="488"/>
    </row>
    <row r="111" spans="1:10" ht="20.25" customHeight="1">
      <c r="A111" s="487"/>
      <c r="B111" s="487"/>
      <c r="C111" s="487"/>
      <c r="D111" s="487"/>
      <c r="E111" s="488"/>
      <c r="F111" s="489"/>
      <c r="G111" s="488"/>
      <c r="H111" s="488"/>
      <c r="I111" s="488"/>
      <c r="J111" s="488"/>
    </row>
    <row r="112" spans="1:10" ht="20.25" customHeight="1">
      <c r="A112" s="487"/>
      <c r="B112" s="487"/>
      <c r="C112" s="487"/>
      <c r="D112" s="487"/>
      <c r="E112" s="488"/>
      <c r="F112" s="489"/>
      <c r="G112" s="488"/>
      <c r="H112" s="488"/>
      <c r="I112" s="488"/>
      <c r="J112" s="488"/>
    </row>
    <row r="113" spans="1:10" ht="20.25" customHeight="1">
      <c r="A113" s="487"/>
      <c r="B113" s="487"/>
      <c r="C113" s="487"/>
      <c r="D113" s="487"/>
      <c r="E113" s="488"/>
      <c r="F113" s="489"/>
      <c r="G113" s="488"/>
      <c r="H113" s="488"/>
      <c r="I113" s="488"/>
      <c r="J113" s="488"/>
    </row>
    <row r="114" spans="1:10" ht="20.25" customHeight="1">
      <c r="A114" s="487"/>
      <c r="B114" s="487"/>
      <c r="C114" s="487"/>
      <c r="D114" s="487"/>
      <c r="E114" s="488"/>
      <c r="F114" s="489"/>
      <c r="G114" s="488"/>
      <c r="H114" s="488"/>
      <c r="I114" s="488"/>
      <c r="J114" s="488"/>
    </row>
    <row r="115" spans="1:10" ht="20.25" customHeight="1">
      <c r="A115" s="487"/>
      <c r="B115" s="487"/>
      <c r="C115" s="487"/>
      <c r="D115" s="487"/>
      <c r="E115" s="488"/>
      <c r="F115" s="489"/>
      <c r="G115" s="488"/>
      <c r="H115" s="488"/>
      <c r="I115" s="488"/>
      <c r="J115" s="488"/>
    </row>
    <row r="116" spans="1:10" ht="20.25" customHeight="1">
      <c r="A116" s="487"/>
      <c r="B116" s="487"/>
      <c r="C116" s="487"/>
      <c r="D116" s="487"/>
      <c r="E116" s="488"/>
      <c r="F116" s="489"/>
      <c r="G116" s="488"/>
      <c r="H116" s="488"/>
      <c r="I116" s="488"/>
      <c r="J116" s="488"/>
    </row>
    <row r="117" spans="1:10" ht="20.25" customHeight="1">
      <c r="A117" s="487"/>
      <c r="B117" s="487"/>
      <c r="C117" s="487"/>
      <c r="D117" s="487"/>
      <c r="E117" s="488"/>
      <c r="F117" s="489"/>
      <c r="G117" s="488"/>
      <c r="H117" s="488"/>
      <c r="I117" s="488"/>
      <c r="J117" s="488"/>
    </row>
    <row r="118" spans="1:10" ht="20.25" customHeight="1">
      <c r="A118" s="487"/>
      <c r="B118" s="487"/>
      <c r="C118" s="487"/>
      <c r="D118" s="487"/>
      <c r="E118" s="488"/>
      <c r="F118" s="489"/>
      <c r="G118" s="488"/>
      <c r="H118" s="488"/>
      <c r="I118" s="488"/>
      <c r="J118" s="488"/>
    </row>
    <row r="119" spans="1:10" ht="20.25" customHeight="1">
      <c r="A119" s="487"/>
      <c r="B119" s="487"/>
      <c r="C119" s="487"/>
      <c r="D119" s="487"/>
      <c r="E119" s="488"/>
      <c r="F119" s="489"/>
      <c r="G119" s="488"/>
      <c r="H119" s="488"/>
      <c r="I119" s="488"/>
      <c r="J119" s="488"/>
    </row>
    <row r="120" spans="1:10" ht="20.25" customHeight="1">
      <c r="A120" s="487"/>
      <c r="B120" s="487"/>
      <c r="C120" s="487"/>
      <c r="D120" s="487"/>
      <c r="E120" s="488"/>
      <c r="F120" s="489"/>
      <c r="G120" s="488"/>
      <c r="H120" s="488"/>
      <c r="I120" s="488"/>
      <c r="J120" s="488"/>
    </row>
    <row r="121" spans="1:10" ht="20.25" customHeight="1">
      <c r="A121" s="487"/>
      <c r="B121" s="487"/>
      <c r="C121" s="487"/>
      <c r="D121" s="487"/>
      <c r="E121" s="488"/>
      <c r="F121" s="489"/>
      <c r="G121" s="488"/>
      <c r="H121" s="488"/>
      <c r="I121" s="488"/>
      <c r="J121" s="488"/>
    </row>
    <row r="122" spans="1:10" ht="20.25" customHeight="1">
      <c r="A122" s="487"/>
      <c r="B122" s="487"/>
      <c r="C122" s="487"/>
      <c r="D122" s="487"/>
      <c r="E122" s="488"/>
      <c r="F122" s="489"/>
      <c r="G122" s="488"/>
      <c r="H122" s="488"/>
      <c r="I122" s="488"/>
      <c r="J122" s="488"/>
    </row>
    <row r="123" spans="1:10" ht="20.25" customHeight="1">
      <c r="A123" s="487"/>
      <c r="B123" s="487"/>
      <c r="C123" s="487"/>
      <c r="D123" s="487"/>
      <c r="E123" s="488"/>
      <c r="F123" s="489"/>
      <c r="G123" s="488"/>
      <c r="H123" s="488"/>
      <c r="I123" s="488"/>
      <c r="J123" s="488"/>
    </row>
    <row r="124" spans="1:10" ht="20.25" customHeight="1">
      <c r="A124" s="487"/>
      <c r="B124" s="487"/>
      <c r="C124" s="487"/>
      <c r="D124" s="487"/>
      <c r="E124" s="488"/>
      <c r="F124" s="489"/>
      <c r="G124" s="488"/>
      <c r="H124" s="488"/>
      <c r="I124" s="488"/>
      <c r="J124" s="488"/>
    </row>
    <row r="125" spans="1:10" ht="20.25" customHeight="1">
      <c r="A125" s="487"/>
      <c r="B125" s="487"/>
      <c r="C125" s="487"/>
      <c r="D125" s="487"/>
      <c r="E125" s="488"/>
      <c r="F125" s="489"/>
      <c r="G125" s="488"/>
      <c r="H125" s="488"/>
      <c r="I125" s="488"/>
      <c r="J125" s="488"/>
    </row>
    <row r="126" spans="1:10" ht="20.25" customHeight="1">
      <c r="A126" s="487"/>
      <c r="B126" s="487"/>
      <c r="C126" s="487"/>
      <c r="D126" s="487"/>
      <c r="E126" s="488"/>
      <c r="F126" s="489"/>
      <c r="G126" s="488"/>
      <c r="H126" s="488"/>
      <c r="I126" s="488"/>
      <c r="J126" s="488"/>
    </row>
    <row r="127" spans="1:10" ht="20.25" customHeight="1">
      <c r="A127" s="487"/>
      <c r="B127" s="487"/>
      <c r="C127" s="487"/>
      <c r="D127" s="487"/>
      <c r="E127" s="488"/>
      <c r="F127" s="489"/>
      <c r="G127" s="488"/>
      <c r="H127" s="488"/>
      <c r="I127" s="488"/>
      <c r="J127" s="488"/>
    </row>
    <row r="128" spans="1:10" ht="20.25" customHeight="1">
      <c r="A128" s="487"/>
      <c r="B128" s="487"/>
      <c r="C128" s="487"/>
      <c r="D128" s="487"/>
      <c r="E128" s="488"/>
      <c r="F128" s="489"/>
      <c r="G128" s="488"/>
      <c r="H128" s="488"/>
      <c r="I128" s="488"/>
      <c r="J128" s="488"/>
    </row>
    <row r="129" spans="1:10" ht="20.25" customHeight="1">
      <c r="A129" s="487"/>
      <c r="B129" s="487"/>
      <c r="C129" s="487"/>
      <c r="D129" s="487"/>
      <c r="E129" s="488"/>
      <c r="F129" s="489"/>
      <c r="G129" s="488"/>
      <c r="H129" s="488"/>
      <c r="I129" s="488"/>
      <c r="J129" s="488"/>
    </row>
    <row r="130" spans="1:10" ht="20.25" customHeight="1">
      <c r="A130" s="487"/>
      <c r="B130" s="487"/>
      <c r="C130" s="487"/>
      <c r="D130" s="487"/>
      <c r="E130" s="488"/>
      <c r="F130" s="489"/>
      <c r="G130" s="488"/>
      <c r="H130" s="488"/>
      <c r="I130" s="488"/>
      <c r="J130" s="488"/>
    </row>
    <row r="131" spans="1:10" ht="20.25" customHeight="1">
      <c r="A131" s="487"/>
      <c r="B131" s="487"/>
      <c r="C131" s="487"/>
      <c r="D131" s="487"/>
      <c r="E131" s="488"/>
      <c r="F131" s="489"/>
      <c r="G131" s="488"/>
      <c r="H131" s="488"/>
      <c r="I131" s="488"/>
      <c r="J131" s="488"/>
    </row>
    <row r="132" spans="1:10" ht="20.25" customHeight="1">
      <c r="A132" s="487"/>
      <c r="B132" s="487"/>
      <c r="C132" s="487"/>
      <c r="D132" s="487"/>
      <c r="E132" s="488"/>
      <c r="F132" s="489"/>
      <c r="G132" s="488"/>
      <c r="H132" s="488"/>
      <c r="I132" s="488"/>
      <c r="J132" s="488"/>
    </row>
    <row r="133" spans="1:10" ht="20.25" customHeight="1">
      <c r="A133" s="487"/>
      <c r="B133" s="487"/>
      <c r="C133" s="487"/>
      <c r="D133" s="487"/>
      <c r="E133" s="488"/>
      <c r="F133" s="489"/>
      <c r="G133" s="488"/>
      <c r="H133" s="488"/>
      <c r="I133" s="488"/>
      <c r="J133" s="488"/>
    </row>
    <row r="134" spans="1:10" ht="20.25" customHeight="1">
      <c r="A134" s="487"/>
      <c r="B134" s="487"/>
      <c r="C134" s="487"/>
      <c r="D134" s="487"/>
      <c r="E134" s="488"/>
      <c r="F134" s="489"/>
      <c r="G134" s="488"/>
      <c r="H134" s="488"/>
      <c r="I134" s="488"/>
      <c r="J134" s="488"/>
    </row>
    <row r="135" spans="1:10" ht="20.25" customHeight="1">
      <c r="A135" s="487"/>
      <c r="B135" s="487"/>
      <c r="C135" s="487"/>
      <c r="D135" s="487"/>
      <c r="E135" s="488"/>
      <c r="F135" s="489"/>
      <c r="G135" s="488"/>
      <c r="H135" s="488"/>
      <c r="I135" s="488"/>
      <c r="J135" s="488"/>
    </row>
    <row r="136" spans="1:10" ht="20.25" customHeight="1">
      <c r="A136" s="487"/>
      <c r="B136" s="487"/>
      <c r="C136" s="487"/>
      <c r="D136" s="487"/>
      <c r="E136" s="488"/>
      <c r="F136" s="489"/>
      <c r="G136" s="488"/>
      <c r="H136" s="488"/>
      <c r="I136" s="488"/>
      <c r="J136" s="488"/>
    </row>
    <row r="137" spans="1:10" ht="20.25" customHeight="1">
      <c r="A137" s="487"/>
      <c r="B137" s="487"/>
      <c r="C137" s="487"/>
      <c r="D137" s="487"/>
      <c r="E137" s="488"/>
      <c r="F137" s="489"/>
      <c r="G137" s="488"/>
      <c r="H137" s="488"/>
      <c r="I137" s="488"/>
      <c r="J137" s="488"/>
    </row>
    <row r="138" spans="1:10" ht="20.25" customHeight="1">
      <c r="A138" s="487"/>
      <c r="B138" s="487"/>
      <c r="C138" s="487"/>
      <c r="D138" s="487"/>
      <c r="E138" s="488"/>
      <c r="F138" s="489"/>
      <c r="G138" s="488"/>
      <c r="H138" s="488"/>
      <c r="I138" s="488"/>
      <c r="J138" s="488"/>
    </row>
    <row r="139" spans="1:10" ht="20.25" customHeight="1">
      <c r="A139" s="487"/>
      <c r="B139" s="487"/>
      <c r="C139" s="487"/>
      <c r="D139" s="487"/>
      <c r="E139" s="488"/>
      <c r="F139" s="489"/>
      <c r="G139" s="488"/>
      <c r="H139" s="488"/>
      <c r="I139" s="488"/>
      <c r="J139" s="488"/>
    </row>
    <row r="140" spans="1:10" ht="20.25" customHeight="1">
      <c r="A140" s="487"/>
      <c r="B140" s="487"/>
      <c r="C140" s="487"/>
      <c r="D140" s="487"/>
      <c r="E140" s="488"/>
      <c r="F140" s="489"/>
      <c r="G140" s="488"/>
      <c r="H140" s="488"/>
      <c r="I140" s="488"/>
      <c r="J140" s="488"/>
    </row>
    <row r="141" spans="1:10" ht="20.25" customHeight="1">
      <c r="A141" s="487"/>
      <c r="B141" s="487"/>
      <c r="C141" s="487"/>
      <c r="D141" s="487"/>
      <c r="E141" s="488"/>
      <c r="F141" s="489"/>
      <c r="G141" s="488"/>
      <c r="H141" s="488"/>
      <c r="I141" s="488"/>
      <c r="J141" s="488"/>
    </row>
    <row r="142" spans="1:10" ht="20.25" customHeight="1">
      <c r="A142" s="487"/>
      <c r="B142" s="487"/>
      <c r="C142" s="487"/>
      <c r="D142" s="487"/>
      <c r="E142" s="488"/>
      <c r="F142" s="489"/>
      <c r="G142" s="488"/>
      <c r="H142" s="488"/>
      <c r="I142" s="488"/>
      <c r="J142" s="488"/>
    </row>
    <row r="143" spans="1:10" ht="20.25" customHeight="1">
      <c r="A143" s="487"/>
      <c r="B143" s="487"/>
      <c r="C143" s="487"/>
      <c r="D143" s="487"/>
      <c r="E143" s="488"/>
      <c r="F143" s="489"/>
      <c r="G143" s="488"/>
      <c r="H143" s="488"/>
      <c r="I143" s="488"/>
      <c r="J143" s="488"/>
    </row>
    <row r="144" spans="1:10" ht="20.25" customHeight="1">
      <c r="A144" s="487"/>
      <c r="B144" s="487"/>
      <c r="C144" s="487"/>
      <c r="D144" s="487"/>
      <c r="E144" s="488"/>
      <c r="F144" s="489"/>
      <c r="G144" s="488"/>
      <c r="H144" s="488"/>
      <c r="I144" s="488"/>
      <c r="J144" s="488"/>
    </row>
    <row r="145" spans="1:10" ht="20.25" customHeight="1">
      <c r="A145" s="487"/>
      <c r="B145" s="487"/>
      <c r="C145" s="487"/>
      <c r="D145" s="487"/>
      <c r="E145" s="488"/>
      <c r="F145" s="489"/>
      <c r="G145" s="488"/>
      <c r="H145" s="488"/>
      <c r="I145" s="488"/>
      <c r="J145" s="488"/>
    </row>
    <row r="146" spans="1:10" ht="20.25" customHeight="1">
      <c r="A146" s="487"/>
      <c r="B146" s="487"/>
      <c r="C146" s="487"/>
      <c r="D146" s="487"/>
      <c r="E146" s="488"/>
      <c r="F146" s="489"/>
      <c r="G146" s="488"/>
      <c r="H146" s="488"/>
      <c r="I146" s="488"/>
      <c r="J146" s="488"/>
    </row>
    <row r="147" spans="1:10" ht="20.25" customHeight="1">
      <c r="A147" s="487"/>
      <c r="B147" s="487"/>
      <c r="C147" s="487"/>
      <c r="D147" s="487"/>
      <c r="E147" s="488"/>
      <c r="F147" s="489"/>
      <c r="G147" s="488"/>
      <c r="H147" s="488"/>
      <c r="I147" s="488"/>
      <c r="J147" s="488"/>
    </row>
    <row r="148" spans="1:10" ht="20.25" customHeight="1">
      <c r="A148" s="487"/>
      <c r="B148" s="487"/>
      <c r="C148" s="487"/>
      <c r="D148" s="487"/>
      <c r="E148" s="488"/>
      <c r="F148" s="489"/>
      <c r="G148" s="488"/>
      <c r="H148" s="488"/>
      <c r="I148" s="488"/>
      <c r="J148" s="488"/>
    </row>
    <row r="149" spans="1:10" ht="20.25" customHeight="1">
      <c r="A149" s="487"/>
      <c r="B149" s="487"/>
      <c r="C149" s="487"/>
      <c r="D149" s="487"/>
      <c r="E149" s="488"/>
      <c r="F149" s="489"/>
      <c r="G149" s="488"/>
      <c r="H149" s="488"/>
      <c r="I149" s="488"/>
      <c r="J149" s="488"/>
    </row>
    <row r="150" spans="1:10" ht="20.25" customHeight="1">
      <c r="A150" s="487"/>
      <c r="B150" s="487"/>
      <c r="C150" s="487"/>
      <c r="D150" s="487"/>
      <c r="E150" s="488"/>
      <c r="F150" s="489"/>
      <c r="G150" s="488"/>
      <c r="H150" s="488"/>
      <c r="I150" s="488"/>
      <c r="J150" s="488"/>
    </row>
    <row r="151" spans="1:10" ht="20.25" customHeight="1">
      <c r="A151" s="487"/>
      <c r="B151" s="487"/>
      <c r="C151" s="487"/>
      <c r="D151" s="487"/>
      <c r="E151" s="488"/>
      <c r="F151" s="489"/>
      <c r="G151" s="488"/>
      <c r="H151" s="488"/>
      <c r="I151" s="488"/>
      <c r="J151" s="488"/>
    </row>
    <row r="152" spans="1:10" ht="20.25" customHeight="1">
      <c r="A152" s="487"/>
      <c r="B152" s="487"/>
      <c r="C152" s="487"/>
      <c r="D152" s="487"/>
      <c r="E152" s="488"/>
      <c r="F152" s="489"/>
      <c r="G152" s="488"/>
      <c r="H152" s="488"/>
      <c r="I152" s="488"/>
      <c r="J152" s="488"/>
    </row>
    <row r="153" spans="1:10" ht="20.25" customHeight="1">
      <c r="A153" s="487"/>
      <c r="B153" s="487"/>
      <c r="C153" s="487"/>
      <c r="D153" s="487"/>
      <c r="E153" s="488"/>
      <c r="F153" s="489"/>
      <c r="G153" s="488"/>
      <c r="H153" s="488"/>
      <c r="I153" s="488"/>
      <c r="J153" s="488"/>
    </row>
    <row r="154" spans="1:10" ht="20.25" customHeight="1">
      <c r="A154" s="487"/>
      <c r="B154" s="487"/>
      <c r="C154" s="487"/>
      <c r="D154" s="487"/>
      <c r="E154" s="488"/>
      <c r="F154" s="489"/>
      <c r="G154" s="488"/>
      <c r="H154" s="488"/>
      <c r="I154" s="488"/>
      <c r="J154" s="488"/>
    </row>
    <row r="155" spans="1:10" ht="20.25" customHeight="1">
      <c r="A155" s="487"/>
      <c r="B155" s="487"/>
      <c r="C155" s="487"/>
      <c r="D155" s="487"/>
      <c r="E155" s="488"/>
      <c r="F155" s="489"/>
      <c r="G155" s="488"/>
      <c r="H155" s="488"/>
      <c r="I155" s="488"/>
      <c r="J155" s="488"/>
    </row>
    <row r="156" spans="1:10" ht="20.25" customHeight="1">
      <c r="A156" s="487"/>
      <c r="B156" s="487"/>
      <c r="C156" s="487"/>
      <c r="D156" s="487"/>
      <c r="E156" s="488"/>
      <c r="F156" s="489"/>
      <c r="G156" s="488"/>
      <c r="H156" s="488"/>
      <c r="I156" s="488"/>
      <c r="J156" s="488"/>
    </row>
    <row r="157" spans="1:10" ht="20.25" customHeight="1">
      <c r="A157" s="487"/>
      <c r="B157" s="487"/>
      <c r="C157" s="487"/>
      <c r="D157" s="487"/>
      <c r="E157" s="488"/>
      <c r="F157" s="489"/>
      <c r="G157" s="488"/>
      <c r="H157" s="488"/>
      <c r="I157" s="488"/>
      <c r="J157" s="488"/>
    </row>
    <row r="158" spans="1:10" ht="20.25" customHeight="1">
      <c r="A158" s="487"/>
      <c r="B158" s="487"/>
      <c r="C158" s="487"/>
      <c r="D158" s="487"/>
      <c r="E158" s="488"/>
      <c r="F158" s="489"/>
      <c r="G158" s="488"/>
      <c r="H158" s="488"/>
      <c r="I158" s="488"/>
      <c r="J158" s="488"/>
    </row>
    <row r="159" spans="1:10" ht="20.25" customHeight="1">
      <c r="A159" s="487"/>
      <c r="B159" s="487"/>
      <c r="C159" s="487"/>
      <c r="D159" s="487"/>
      <c r="E159" s="488"/>
      <c r="F159" s="489"/>
      <c r="G159" s="488"/>
      <c r="H159" s="488"/>
      <c r="I159" s="488"/>
      <c r="J159" s="488"/>
    </row>
    <row r="160" spans="1:10" ht="20.25" customHeight="1">
      <c r="A160" s="487"/>
      <c r="B160" s="487"/>
      <c r="C160" s="487"/>
      <c r="D160" s="487"/>
      <c r="E160" s="488"/>
      <c r="F160" s="489"/>
      <c r="G160" s="488"/>
      <c r="H160" s="488"/>
      <c r="I160" s="488"/>
      <c r="J160" s="488"/>
    </row>
    <row r="161" spans="1:10" ht="20.25" customHeight="1">
      <c r="A161" s="487"/>
      <c r="B161" s="487"/>
      <c r="C161" s="487"/>
      <c r="D161" s="487"/>
      <c r="E161" s="488"/>
      <c r="F161" s="489"/>
      <c r="G161" s="488"/>
      <c r="H161" s="488"/>
      <c r="I161" s="488"/>
      <c r="J161" s="488"/>
    </row>
    <row r="162" spans="1:10" ht="20.25" customHeight="1">
      <c r="A162" s="487"/>
      <c r="B162" s="487"/>
      <c r="C162" s="487"/>
      <c r="D162" s="487"/>
      <c r="E162" s="488"/>
      <c r="F162" s="489"/>
      <c r="G162" s="488"/>
      <c r="H162" s="488"/>
      <c r="I162" s="488"/>
      <c r="J162" s="488"/>
    </row>
    <row r="163" spans="1:10" ht="20.25" customHeight="1">
      <c r="A163" s="487"/>
      <c r="B163" s="487"/>
      <c r="C163" s="487"/>
      <c r="D163" s="487"/>
      <c r="E163" s="488"/>
      <c r="F163" s="489"/>
      <c r="G163" s="488"/>
      <c r="H163" s="488"/>
      <c r="I163" s="488"/>
      <c r="J163" s="488"/>
    </row>
    <row r="164" spans="1:10" ht="20.25" customHeight="1">
      <c r="A164" s="487"/>
      <c r="B164" s="487"/>
      <c r="C164" s="487"/>
      <c r="D164" s="487"/>
      <c r="E164" s="488"/>
      <c r="F164" s="489"/>
      <c r="G164" s="488"/>
      <c r="H164" s="488"/>
      <c r="I164" s="488"/>
      <c r="J164" s="488"/>
    </row>
    <row r="165" spans="1:10" ht="20.25" customHeight="1">
      <c r="A165" s="487"/>
      <c r="B165" s="487"/>
      <c r="C165" s="487"/>
      <c r="D165" s="487"/>
      <c r="E165" s="488"/>
      <c r="F165" s="489"/>
      <c r="G165" s="488"/>
      <c r="H165" s="488"/>
      <c r="I165" s="488"/>
      <c r="J165" s="488"/>
    </row>
    <row r="166" spans="1:10" ht="20.25" customHeight="1">
      <c r="A166" s="487"/>
      <c r="B166" s="487"/>
      <c r="C166" s="487"/>
      <c r="D166" s="487"/>
      <c r="E166" s="488"/>
      <c r="F166" s="489"/>
      <c r="G166" s="488"/>
      <c r="H166" s="488"/>
      <c r="I166" s="488"/>
      <c r="J166" s="488"/>
    </row>
    <row r="167" spans="1:10" ht="20.25" customHeight="1">
      <c r="A167" s="487"/>
      <c r="B167" s="487"/>
      <c r="C167" s="487"/>
      <c r="D167" s="487"/>
      <c r="E167" s="488"/>
      <c r="F167" s="489"/>
      <c r="G167" s="488"/>
      <c r="H167" s="488"/>
      <c r="I167" s="488"/>
      <c r="J167" s="488"/>
    </row>
    <row r="168" spans="1:10" ht="20.25" customHeight="1">
      <c r="A168" s="487"/>
      <c r="B168" s="487"/>
      <c r="C168" s="487"/>
      <c r="D168" s="487"/>
      <c r="E168" s="488"/>
      <c r="F168" s="489"/>
      <c r="G168" s="488"/>
      <c r="H168" s="488"/>
      <c r="I168" s="488"/>
      <c r="J168" s="488"/>
    </row>
    <row r="169" spans="1:10" ht="20.25" customHeight="1">
      <c r="A169" s="487"/>
      <c r="B169" s="487"/>
      <c r="C169" s="487"/>
      <c r="D169" s="487"/>
      <c r="E169" s="488"/>
      <c r="F169" s="489"/>
      <c r="G169" s="488"/>
      <c r="H169" s="488"/>
      <c r="I169" s="488"/>
      <c r="J169" s="488"/>
    </row>
    <row r="170" spans="1:10" ht="20.25" customHeight="1">
      <c r="A170" s="487"/>
      <c r="B170" s="487"/>
      <c r="C170" s="487"/>
      <c r="D170" s="487"/>
      <c r="E170" s="488"/>
      <c r="F170" s="489"/>
      <c r="G170" s="488"/>
      <c r="H170" s="488"/>
      <c r="I170" s="488"/>
      <c r="J170" s="488"/>
    </row>
    <row r="171" spans="1:10" ht="20.25" customHeight="1">
      <c r="A171" s="487"/>
      <c r="B171" s="487"/>
      <c r="C171" s="487"/>
      <c r="D171" s="487"/>
      <c r="E171" s="488"/>
      <c r="F171" s="489"/>
      <c r="G171" s="488"/>
      <c r="H171" s="488"/>
      <c r="I171" s="488"/>
      <c r="J171" s="488"/>
    </row>
    <row r="172" spans="1:10" ht="20.25" customHeight="1">
      <c r="A172" s="487"/>
      <c r="B172" s="487"/>
      <c r="C172" s="487"/>
      <c r="D172" s="487"/>
      <c r="E172" s="488"/>
      <c r="F172" s="489"/>
      <c r="G172" s="488"/>
      <c r="H172" s="488"/>
      <c r="I172" s="488"/>
      <c r="J172" s="488"/>
    </row>
    <row r="173" spans="1:10" ht="20.25" customHeight="1">
      <c r="A173" s="487"/>
      <c r="B173" s="487"/>
      <c r="C173" s="487"/>
      <c r="D173" s="487"/>
      <c r="E173" s="488"/>
      <c r="F173" s="489"/>
      <c r="G173" s="488"/>
      <c r="H173" s="488"/>
      <c r="I173" s="488"/>
      <c r="J173" s="488"/>
    </row>
    <row r="174" spans="1:10" ht="20.25" customHeight="1">
      <c r="A174" s="487"/>
      <c r="B174" s="487"/>
      <c r="C174" s="487"/>
      <c r="D174" s="487"/>
      <c r="E174" s="488"/>
      <c r="F174" s="489"/>
      <c r="G174" s="488"/>
      <c r="H174" s="488"/>
      <c r="I174" s="488"/>
      <c r="J174" s="488"/>
    </row>
    <row r="175" spans="1:10" ht="20.25" customHeight="1">
      <c r="A175" s="487"/>
      <c r="B175" s="487"/>
      <c r="C175" s="487"/>
      <c r="D175" s="487"/>
      <c r="E175" s="488"/>
      <c r="F175" s="489"/>
      <c r="G175" s="488"/>
      <c r="H175" s="488"/>
      <c r="I175" s="488"/>
      <c r="J175" s="488"/>
    </row>
    <row r="176" spans="1:10" ht="20.25" customHeight="1">
      <c r="A176" s="487"/>
      <c r="B176" s="487"/>
      <c r="C176" s="487"/>
      <c r="D176" s="487"/>
      <c r="E176" s="488"/>
      <c r="F176" s="489"/>
      <c r="G176" s="488"/>
      <c r="H176" s="488"/>
      <c r="I176" s="488"/>
      <c r="J176" s="488"/>
    </row>
    <row r="177" spans="1:10" ht="20.25" customHeight="1">
      <c r="A177" s="487"/>
      <c r="B177" s="487"/>
      <c r="C177" s="487"/>
      <c r="D177" s="487"/>
      <c r="E177" s="488"/>
      <c r="F177" s="489"/>
      <c r="G177" s="488"/>
      <c r="H177" s="488"/>
      <c r="I177" s="488"/>
      <c r="J177" s="488"/>
    </row>
    <row r="178" spans="1:10" ht="20.25" customHeight="1">
      <c r="A178" s="487"/>
      <c r="B178" s="487"/>
      <c r="C178" s="487"/>
      <c r="D178" s="487"/>
      <c r="E178" s="488"/>
      <c r="F178" s="489"/>
      <c r="G178" s="488"/>
      <c r="H178" s="488"/>
      <c r="I178" s="488"/>
      <c r="J178" s="488"/>
    </row>
    <row r="179" spans="1:10" ht="20.25" customHeight="1">
      <c r="A179" s="487"/>
      <c r="B179" s="487"/>
      <c r="C179" s="487"/>
      <c r="D179" s="487"/>
      <c r="E179" s="488"/>
      <c r="F179" s="489"/>
      <c r="G179" s="488"/>
      <c r="H179" s="488"/>
      <c r="I179" s="488"/>
      <c r="J179" s="488"/>
    </row>
    <row r="180" spans="1:10" ht="20.25" customHeight="1">
      <c r="A180" s="487"/>
      <c r="B180" s="487"/>
      <c r="C180" s="487"/>
      <c r="D180" s="487"/>
      <c r="E180" s="488"/>
      <c r="F180" s="489"/>
      <c r="G180" s="488"/>
      <c r="H180" s="488"/>
      <c r="I180" s="488"/>
      <c r="J180" s="488"/>
    </row>
    <row r="181" spans="1:10" ht="20.25" customHeight="1">
      <c r="A181" s="487"/>
      <c r="B181" s="487"/>
      <c r="C181" s="487"/>
      <c r="D181" s="487"/>
      <c r="E181" s="488"/>
      <c r="F181" s="489"/>
      <c r="G181" s="488"/>
      <c r="H181" s="488"/>
      <c r="I181" s="488"/>
      <c r="J181" s="488"/>
    </row>
    <row r="182" spans="1:10" ht="20.25" customHeight="1">
      <c r="A182" s="487"/>
      <c r="B182" s="487"/>
      <c r="C182" s="487"/>
      <c r="D182" s="487"/>
      <c r="E182" s="488"/>
      <c r="F182" s="489"/>
      <c r="G182" s="488"/>
      <c r="H182" s="488"/>
      <c r="I182" s="488"/>
      <c r="J182" s="488"/>
    </row>
    <row r="183" spans="1:10" ht="20.25" customHeight="1">
      <c r="A183" s="487"/>
      <c r="B183" s="487"/>
      <c r="C183" s="487"/>
      <c r="D183" s="487"/>
      <c r="E183" s="488"/>
      <c r="F183" s="489"/>
      <c r="G183" s="488"/>
      <c r="H183" s="488"/>
      <c r="I183" s="488"/>
      <c r="J183" s="488"/>
    </row>
    <row r="184" spans="1:10" ht="20.25" customHeight="1">
      <c r="A184" s="487"/>
      <c r="B184" s="487"/>
      <c r="C184" s="487"/>
      <c r="D184" s="487"/>
      <c r="E184" s="488"/>
      <c r="F184" s="489"/>
      <c r="G184" s="488"/>
      <c r="H184" s="488"/>
      <c r="I184" s="488"/>
      <c r="J184" s="488"/>
    </row>
    <row r="185" spans="1:10" ht="20.25" customHeight="1">
      <c r="A185" s="487"/>
      <c r="B185" s="487"/>
      <c r="C185" s="487"/>
      <c r="D185" s="487"/>
      <c r="E185" s="488"/>
      <c r="F185" s="489"/>
      <c r="G185" s="488"/>
      <c r="H185" s="488"/>
      <c r="I185" s="488"/>
      <c r="J185" s="488"/>
    </row>
    <row r="186" spans="1:10" ht="20.25" customHeight="1">
      <c r="A186" s="487"/>
      <c r="B186" s="487"/>
      <c r="C186" s="487"/>
      <c r="D186" s="487"/>
      <c r="E186" s="488"/>
      <c r="F186" s="489"/>
      <c r="G186" s="488"/>
      <c r="H186" s="488"/>
      <c r="I186" s="488"/>
      <c r="J186" s="488"/>
    </row>
    <row r="187" spans="1:10" ht="20.25" customHeight="1">
      <c r="A187" s="487"/>
      <c r="B187" s="487"/>
      <c r="C187" s="487"/>
      <c r="D187" s="487"/>
      <c r="E187" s="488"/>
      <c r="F187" s="489"/>
      <c r="G187" s="488"/>
      <c r="H187" s="488"/>
      <c r="I187" s="488"/>
      <c r="J187" s="488"/>
    </row>
    <row r="188" spans="1:10" ht="20.25" customHeight="1">
      <c r="A188" s="487"/>
      <c r="B188" s="487"/>
      <c r="C188" s="487"/>
      <c r="D188" s="487"/>
      <c r="E188" s="488"/>
      <c r="F188" s="489"/>
      <c r="G188" s="488"/>
      <c r="H188" s="488"/>
      <c r="I188" s="488"/>
      <c r="J188" s="488"/>
    </row>
    <row r="189" spans="1:10" ht="20.25" customHeight="1">
      <c r="A189" s="487"/>
      <c r="B189" s="487"/>
      <c r="C189" s="487"/>
      <c r="D189" s="487"/>
      <c r="E189" s="488"/>
      <c r="F189" s="489"/>
      <c r="G189" s="488"/>
      <c r="H189" s="488"/>
      <c r="I189" s="488"/>
      <c r="J189" s="488"/>
    </row>
    <row r="190" spans="1:10" ht="20.25" customHeight="1">
      <c r="A190" s="487"/>
      <c r="B190" s="487"/>
      <c r="C190" s="487"/>
      <c r="D190" s="487"/>
      <c r="E190" s="488"/>
      <c r="F190" s="489"/>
      <c r="G190" s="488"/>
      <c r="H190" s="488"/>
      <c r="I190" s="488"/>
      <c r="J190" s="488"/>
    </row>
    <row r="191" spans="1:10" ht="20.25" customHeight="1">
      <c r="A191" s="487"/>
      <c r="B191" s="487"/>
      <c r="C191" s="487"/>
      <c r="D191" s="487"/>
      <c r="E191" s="488"/>
      <c r="F191" s="489"/>
      <c r="G191" s="488"/>
      <c r="H191" s="488"/>
      <c r="I191" s="488"/>
      <c r="J191" s="488"/>
    </row>
    <row r="192" spans="1:10" ht="20.25" customHeight="1">
      <c r="A192" s="487"/>
      <c r="B192" s="487"/>
      <c r="C192" s="487"/>
      <c r="D192" s="487"/>
      <c r="E192" s="488"/>
      <c r="F192" s="489"/>
      <c r="G192" s="488"/>
      <c r="H192" s="488"/>
      <c r="I192" s="488"/>
      <c r="J192" s="488"/>
    </row>
    <row r="193" spans="1:10" ht="20.25" customHeight="1">
      <c r="A193" s="487"/>
      <c r="B193" s="487"/>
      <c r="C193" s="487"/>
      <c r="D193" s="487"/>
      <c r="E193" s="488"/>
      <c r="F193" s="489"/>
      <c r="G193" s="488"/>
      <c r="H193" s="488"/>
      <c r="I193" s="488"/>
      <c r="J193" s="488"/>
    </row>
    <row r="194" spans="1:10" ht="20.25" customHeight="1">
      <c r="A194" s="487"/>
      <c r="B194" s="487"/>
      <c r="C194" s="487"/>
      <c r="D194" s="487"/>
      <c r="E194" s="488"/>
      <c r="F194" s="489"/>
      <c r="G194" s="488"/>
      <c r="H194" s="488"/>
      <c r="I194" s="488"/>
      <c r="J194" s="488"/>
    </row>
    <row r="195" spans="1:10" ht="20.25" customHeight="1">
      <c r="A195" s="487"/>
      <c r="B195" s="487"/>
      <c r="C195" s="487"/>
      <c r="D195" s="487"/>
      <c r="E195" s="488"/>
      <c r="F195" s="489"/>
      <c r="G195" s="488"/>
      <c r="H195" s="488"/>
      <c r="I195" s="488"/>
      <c r="J195" s="488"/>
    </row>
    <row r="196" spans="1:10" ht="20.25" customHeight="1">
      <c r="A196" s="487"/>
      <c r="B196" s="487"/>
      <c r="C196" s="487"/>
      <c r="D196" s="487"/>
      <c r="E196" s="488"/>
      <c r="F196" s="489"/>
      <c r="G196" s="488"/>
      <c r="H196" s="488"/>
      <c r="I196" s="488"/>
      <c r="J196" s="488"/>
    </row>
    <row r="197" spans="1:10" ht="20.25" customHeight="1">
      <c r="A197" s="487"/>
      <c r="B197" s="487"/>
      <c r="C197" s="487"/>
      <c r="D197" s="487"/>
      <c r="E197" s="488"/>
      <c r="F197" s="489"/>
      <c r="G197" s="488"/>
      <c r="H197" s="488"/>
      <c r="I197" s="488"/>
      <c r="J197" s="488"/>
    </row>
    <row r="198" spans="1:10" ht="20.25" customHeight="1">
      <c r="A198" s="487"/>
      <c r="B198" s="487"/>
      <c r="C198" s="487"/>
      <c r="D198" s="487"/>
      <c r="E198" s="488"/>
      <c r="F198" s="489"/>
      <c r="G198" s="488"/>
      <c r="H198" s="488"/>
      <c r="I198" s="488"/>
      <c r="J198" s="488"/>
    </row>
    <row r="199" spans="1:10" ht="20.25" customHeight="1">
      <c r="A199" s="487"/>
      <c r="B199" s="487"/>
      <c r="C199" s="487"/>
      <c r="D199" s="487"/>
      <c r="E199" s="488"/>
      <c r="F199" s="489"/>
      <c r="G199" s="488"/>
      <c r="H199" s="488"/>
      <c r="I199" s="488"/>
      <c r="J199" s="488"/>
    </row>
    <row r="200" spans="1:10" ht="20.25" customHeight="1">
      <c r="A200" s="487"/>
      <c r="B200" s="487"/>
      <c r="C200" s="487"/>
      <c r="D200" s="487"/>
      <c r="E200" s="488"/>
      <c r="F200" s="489"/>
      <c r="G200" s="488"/>
      <c r="H200" s="488"/>
      <c r="I200" s="488"/>
      <c r="J200" s="488"/>
    </row>
    <row r="201" spans="1:10" ht="20.25" customHeight="1">
      <c r="A201" s="487"/>
      <c r="B201" s="487"/>
      <c r="C201" s="487"/>
      <c r="D201" s="487"/>
      <c r="E201" s="488"/>
      <c r="F201" s="489"/>
      <c r="G201" s="488"/>
      <c r="H201" s="488"/>
      <c r="I201" s="488"/>
      <c r="J201" s="488"/>
    </row>
    <row r="202" spans="1:10" ht="20.25" customHeight="1">
      <c r="A202" s="487"/>
      <c r="B202" s="487"/>
      <c r="C202" s="487"/>
      <c r="D202" s="487"/>
      <c r="E202" s="488"/>
      <c r="F202" s="489"/>
      <c r="G202" s="488"/>
      <c r="H202" s="488"/>
      <c r="I202" s="488"/>
      <c r="J202" s="488"/>
    </row>
    <row r="203" spans="1:10" ht="20.25" customHeight="1">
      <c r="A203" s="487"/>
      <c r="B203" s="487"/>
      <c r="C203" s="487"/>
      <c r="D203" s="487"/>
      <c r="E203" s="488"/>
      <c r="F203" s="489"/>
      <c r="G203" s="488"/>
      <c r="H203" s="488"/>
      <c r="I203" s="488"/>
      <c r="J203" s="488"/>
    </row>
    <row r="204" spans="1:10" ht="20.25" customHeight="1">
      <c r="A204" s="487"/>
      <c r="B204" s="487"/>
      <c r="C204" s="487"/>
      <c r="D204" s="487"/>
      <c r="E204" s="488"/>
      <c r="F204" s="489"/>
      <c r="G204" s="488"/>
      <c r="H204" s="488"/>
      <c r="I204" s="488"/>
      <c r="J204" s="488"/>
    </row>
    <row r="205" spans="1:10" ht="20.25" customHeight="1">
      <c r="A205" s="487"/>
      <c r="B205" s="487"/>
      <c r="C205" s="487"/>
      <c r="D205" s="487"/>
      <c r="E205" s="488"/>
      <c r="F205" s="489"/>
      <c r="G205" s="488"/>
      <c r="H205" s="488"/>
      <c r="I205" s="488"/>
      <c r="J205" s="488"/>
    </row>
    <row r="206" spans="1:10" ht="20.25" customHeight="1">
      <c r="A206" s="487"/>
      <c r="B206" s="487"/>
      <c r="C206" s="487"/>
      <c r="D206" s="487"/>
      <c r="E206" s="488"/>
      <c r="F206" s="489"/>
      <c r="G206" s="488"/>
      <c r="H206" s="488"/>
      <c r="I206" s="488"/>
      <c r="J206" s="488"/>
    </row>
    <row r="207" spans="1:10" ht="20.25" customHeight="1">
      <c r="A207" s="487"/>
      <c r="B207" s="487"/>
      <c r="C207" s="487"/>
      <c r="D207" s="487"/>
      <c r="E207" s="488"/>
      <c r="F207" s="489"/>
      <c r="G207" s="488"/>
      <c r="H207" s="488"/>
      <c r="I207" s="488"/>
      <c r="J207" s="488"/>
    </row>
    <row r="208" spans="1:10" ht="20.25" customHeight="1">
      <c r="A208" s="487"/>
      <c r="B208" s="487"/>
      <c r="C208" s="487"/>
      <c r="D208" s="487"/>
      <c r="E208" s="488"/>
      <c r="F208" s="489"/>
      <c r="G208" s="488"/>
      <c r="H208" s="488"/>
      <c r="I208" s="488"/>
      <c r="J208" s="488"/>
    </row>
    <row r="209" spans="1:10" ht="20.25" customHeight="1">
      <c r="A209" s="487"/>
      <c r="B209" s="487"/>
      <c r="C209" s="487"/>
      <c r="D209" s="487"/>
      <c r="E209" s="488"/>
      <c r="F209" s="489"/>
      <c r="G209" s="488"/>
      <c r="H209" s="488"/>
      <c r="I209" s="488"/>
      <c r="J209" s="488"/>
    </row>
    <row r="210" spans="1:10" ht="20.25" customHeight="1">
      <c r="A210" s="487"/>
      <c r="B210" s="487"/>
      <c r="C210" s="487"/>
      <c r="D210" s="487"/>
      <c r="E210" s="488"/>
      <c r="F210" s="489"/>
      <c r="G210" s="488"/>
      <c r="H210" s="488"/>
      <c r="I210" s="488"/>
      <c r="J210" s="488"/>
    </row>
    <row r="211" spans="1:10" ht="20.25" customHeight="1">
      <c r="A211" s="487"/>
      <c r="B211" s="487"/>
      <c r="C211" s="487"/>
      <c r="D211" s="487"/>
      <c r="E211" s="488"/>
      <c r="F211" s="489"/>
      <c r="G211" s="488"/>
      <c r="H211" s="488"/>
      <c r="I211" s="488"/>
      <c r="J211" s="488"/>
    </row>
    <row r="212" spans="1:10" ht="20.25" customHeight="1">
      <c r="A212" s="487"/>
      <c r="B212" s="487"/>
      <c r="C212" s="487"/>
      <c r="D212" s="487"/>
      <c r="E212" s="488"/>
      <c r="F212" s="489"/>
      <c r="G212" s="488"/>
      <c r="H212" s="488"/>
      <c r="I212" s="488"/>
      <c r="J212" s="488"/>
    </row>
    <row r="213" spans="1:10" ht="20.25" customHeight="1">
      <c r="A213" s="487"/>
      <c r="B213" s="487"/>
      <c r="C213" s="487"/>
      <c r="D213" s="487"/>
      <c r="E213" s="488"/>
      <c r="F213" s="489"/>
      <c r="G213" s="488"/>
      <c r="H213" s="488"/>
      <c r="I213" s="488"/>
      <c r="J213" s="488"/>
    </row>
    <row r="214" spans="1:10" ht="20.25" customHeight="1">
      <c r="A214" s="487"/>
      <c r="B214" s="487"/>
      <c r="C214" s="487"/>
      <c r="D214" s="487"/>
      <c r="E214" s="488"/>
      <c r="F214" s="489"/>
      <c r="G214" s="488"/>
      <c r="H214" s="488"/>
      <c r="I214" s="488"/>
      <c r="J214" s="488"/>
    </row>
    <row r="215" spans="1:10" ht="20.25" customHeight="1">
      <c r="A215" s="487"/>
      <c r="B215" s="487"/>
      <c r="C215" s="487"/>
      <c r="D215" s="487"/>
      <c r="E215" s="488"/>
      <c r="F215" s="489"/>
      <c r="G215" s="488"/>
      <c r="H215" s="488"/>
      <c r="I215" s="488"/>
      <c r="J215" s="488"/>
    </row>
    <row r="216" spans="1:10" ht="20.25" customHeight="1">
      <c r="A216" s="487"/>
      <c r="B216" s="487"/>
      <c r="C216" s="487"/>
      <c r="D216" s="487"/>
      <c r="E216" s="488"/>
      <c r="F216" s="489"/>
      <c r="G216" s="488"/>
      <c r="H216" s="488"/>
      <c r="I216" s="488"/>
      <c r="J216" s="488"/>
    </row>
    <row r="217" spans="1:10" ht="20.25" customHeight="1">
      <c r="A217" s="487"/>
      <c r="B217" s="487"/>
      <c r="C217" s="487"/>
      <c r="D217" s="487"/>
      <c r="E217" s="488"/>
      <c r="F217" s="489"/>
      <c r="G217" s="488"/>
      <c r="H217" s="488"/>
      <c r="I217" s="488"/>
      <c r="J217" s="488"/>
    </row>
    <row r="218" spans="1:10" ht="20.25" customHeight="1">
      <c r="A218" s="487"/>
      <c r="B218" s="487"/>
      <c r="C218" s="487"/>
      <c r="D218" s="487"/>
      <c r="E218" s="488"/>
      <c r="F218" s="489"/>
      <c r="G218" s="488"/>
      <c r="H218" s="488"/>
      <c r="I218" s="488"/>
      <c r="J218" s="488"/>
    </row>
    <row r="219" spans="1:10" ht="20.25" customHeight="1">
      <c r="A219" s="487"/>
      <c r="B219" s="487"/>
      <c r="C219" s="487"/>
      <c r="D219" s="487"/>
      <c r="E219" s="488"/>
      <c r="F219" s="489"/>
      <c r="G219" s="488"/>
      <c r="H219" s="488"/>
      <c r="I219" s="488"/>
      <c r="J219" s="488"/>
    </row>
    <row r="220" spans="1:10" ht="20.25" customHeight="1">
      <c r="A220" s="487"/>
      <c r="B220" s="487"/>
      <c r="C220" s="487"/>
      <c r="D220" s="487"/>
      <c r="E220" s="488"/>
      <c r="F220" s="489"/>
      <c r="G220" s="488"/>
      <c r="H220" s="488"/>
      <c r="I220" s="488"/>
      <c r="J220" s="488"/>
    </row>
    <row r="221" spans="1:10" ht="20.25" customHeight="1">
      <c r="A221" s="487"/>
      <c r="B221" s="487"/>
      <c r="C221" s="487"/>
      <c r="D221" s="487"/>
      <c r="E221" s="488"/>
      <c r="F221" s="489"/>
      <c r="G221" s="488"/>
      <c r="H221" s="488"/>
      <c r="I221" s="488"/>
      <c r="J221" s="488"/>
    </row>
    <row r="222" spans="1:10" ht="20.25" customHeight="1">
      <c r="A222" s="487"/>
      <c r="B222" s="487"/>
      <c r="C222" s="487"/>
      <c r="D222" s="487"/>
      <c r="E222" s="488"/>
      <c r="F222" s="489"/>
      <c r="G222" s="488"/>
      <c r="H222" s="488"/>
      <c r="I222" s="488"/>
      <c r="J222" s="488"/>
    </row>
    <row r="223" spans="1:10" ht="20.25" customHeight="1">
      <c r="A223" s="487"/>
      <c r="B223" s="487"/>
      <c r="C223" s="487"/>
      <c r="D223" s="487"/>
      <c r="E223" s="488"/>
      <c r="F223" s="489"/>
      <c r="G223" s="488"/>
      <c r="H223" s="488"/>
      <c r="I223" s="488"/>
      <c r="J223" s="488"/>
    </row>
    <row r="224" spans="1:10" ht="20.25" customHeight="1">
      <c r="A224" s="487"/>
      <c r="B224" s="487"/>
      <c r="C224" s="487"/>
      <c r="D224" s="487"/>
      <c r="E224" s="488"/>
      <c r="F224" s="489"/>
      <c r="G224" s="488"/>
      <c r="H224" s="488"/>
      <c r="I224" s="488"/>
      <c r="J224" s="488"/>
    </row>
    <row r="225" spans="1:10" ht="20.25" customHeight="1">
      <c r="A225" s="487"/>
      <c r="B225" s="487"/>
      <c r="C225" s="487"/>
      <c r="D225" s="487"/>
      <c r="E225" s="488"/>
      <c r="F225" s="489"/>
      <c r="G225" s="488"/>
      <c r="H225" s="488"/>
      <c r="I225" s="488"/>
      <c r="J225" s="488"/>
    </row>
    <row r="226" spans="1:10" ht="20.25" customHeight="1">
      <c r="A226" s="487"/>
      <c r="B226" s="487"/>
      <c r="C226" s="487"/>
      <c r="D226" s="487"/>
      <c r="E226" s="488"/>
      <c r="F226" s="489"/>
      <c r="G226" s="488"/>
      <c r="H226" s="488"/>
      <c r="I226" s="488"/>
      <c r="J226" s="488"/>
    </row>
    <row r="227" spans="1:10" ht="20.25" customHeight="1">
      <c r="A227" s="487"/>
      <c r="B227" s="487"/>
      <c r="C227" s="487"/>
      <c r="D227" s="487"/>
      <c r="E227" s="488"/>
      <c r="F227" s="489"/>
      <c r="G227" s="488"/>
      <c r="H227" s="488"/>
      <c r="I227" s="488"/>
      <c r="J227" s="488"/>
    </row>
    <row r="228" spans="1:10" ht="20.25" customHeight="1">
      <c r="A228" s="487"/>
      <c r="B228" s="487"/>
      <c r="C228" s="487"/>
      <c r="D228" s="487"/>
      <c r="E228" s="488"/>
      <c r="F228" s="489"/>
      <c r="G228" s="488"/>
      <c r="H228" s="488"/>
      <c r="I228" s="488"/>
      <c r="J228" s="488"/>
    </row>
    <row r="229" spans="1:10" ht="20.25" customHeight="1">
      <c r="A229" s="487"/>
      <c r="B229" s="487"/>
      <c r="C229" s="487"/>
      <c r="D229" s="487"/>
      <c r="E229" s="488"/>
      <c r="F229" s="489"/>
      <c r="G229" s="488"/>
      <c r="H229" s="488"/>
      <c r="I229" s="488"/>
      <c r="J229" s="488"/>
    </row>
    <row r="230" spans="1:10" ht="20.25" customHeight="1">
      <c r="A230" s="487"/>
      <c r="B230" s="487"/>
      <c r="C230" s="487"/>
      <c r="D230" s="487"/>
      <c r="E230" s="488"/>
      <c r="F230" s="489"/>
      <c r="G230" s="488"/>
      <c r="H230" s="488"/>
      <c r="I230" s="488"/>
      <c r="J230" s="488"/>
    </row>
    <row r="231" spans="1:10" ht="20.25" customHeight="1">
      <c r="A231" s="487"/>
      <c r="B231" s="487"/>
      <c r="C231" s="487"/>
      <c r="D231" s="487"/>
      <c r="E231" s="488"/>
      <c r="F231" s="489"/>
      <c r="G231" s="488"/>
      <c r="H231" s="488"/>
      <c r="I231" s="488"/>
      <c r="J231" s="488"/>
    </row>
    <row r="232" spans="1:10" ht="20.25" customHeight="1">
      <c r="A232" s="487"/>
      <c r="B232" s="487"/>
      <c r="C232" s="487"/>
      <c r="D232" s="487"/>
      <c r="E232" s="488"/>
      <c r="F232" s="489"/>
      <c r="G232" s="488"/>
      <c r="H232" s="488"/>
      <c r="I232" s="488"/>
      <c r="J232" s="488"/>
    </row>
    <row r="233" spans="1:10" ht="20.25" customHeight="1">
      <c r="A233" s="487"/>
      <c r="B233" s="487"/>
      <c r="C233" s="487"/>
      <c r="D233" s="487"/>
      <c r="E233" s="488"/>
      <c r="F233" s="489"/>
      <c r="G233" s="488"/>
      <c r="H233" s="488"/>
      <c r="I233" s="488"/>
      <c r="J233" s="488"/>
    </row>
    <row r="234" spans="1:10" ht="20.25" customHeight="1">
      <c r="A234" s="487"/>
      <c r="B234" s="487"/>
      <c r="C234" s="487"/>
      <c r="D234" s="487"/>
      <c r="E234" s="488"/>
      <c r="F234" s="489"/>
      <c r="G234" s="488"/>
      <c r="H234" s="488"/>
      <c r="I234" s="488"/>
      <c r="J234" s="488"/>
    </row>
    <row r="235" spans="1:10" ht="20.25" customHeight="1">
      <c r="A235" s="487"/>
      <c r="B235" s="487"/>
      <c r="C235" s="487"/>
      <c r="D235" s="487"/>
      <c r="E235" s="488"/>
      <c r="F235" s="489"/>
      <c r="G235" s="488"/>
      <c r="H235" s="488"/>
      <c r="I235" s="488"/>
      <c r="J235" s="488"/>
    </row>
    <row r="236" spans="1:10" ht="20.25" customHeight="1">
      <c r="A236" s="487"/>
      <c r="B236" s="487"/>
      <c r="C236" s="487"/>
      <c r="D236" s="487"/>
      <c r="E236" s="488"/>
      <c r="F236" s="489"/>
      <c r="G236" s="488"/>
      <c r="H236" s="488"/>
      <c r="I236" s="488"/>
      <c r="J236" s="488"/>
    </row>
    <row r="237" spans="1:10" ht="20.25" customHeight="1">
      <c r="A237" s="487"/>
      <c r="B237" s="487"/>
      <c r="C237" s="487"/>
      <c r="D237" s="487"/>
      <c r="E237" s="488"/>
      <c r="F237" s="489"/>
      <c r="G237" s="488"/>
      <c r="H237" s="488"/>
      <c r="I237" s="488"/>
      <c r="J237" s="488"/>
    </row>
    <row r="238" spans="1:10" ht="20.25" customHeight="1">
      <c r="A238" s="487"/>
      <c r="B238" s="487"/>
      <c r="C238" s="487"/>
      <c r="D238" s="487"/>
      <c r="E238" s="488"/>
      <c r="F238" s="489"/>
      <c r="G238" s="488"/>
      <c r="H238" s="488"/>
      <c r="I238" s="488"/>
      <c r="J238" s="488"/>
    </row>
    <row r="239" spans="1:10" ht="20.25" customHeight="1">
      <c r="A239" s="487"/>
      <c r="B239" s="487"/>
      <c r="C239" s="487"/>
      <c r="D239" s="487"/>
      <c r="E239" s="488"/>
      <c r="F239" s="489"/>
      <c r="G239" s="488"/>
      <c r="H239" s="488"/>
      <c r="I239" s="488"/>
      <c r="J239" s="488"/>
    </row>
    <row r="240" spans="1:10" ht="20.25" customHeight="1">
      <c r="A240" s="487"/>
      <c r="B240" s="487"/>
      <c r="C240" s="487"/>
      <c r="D240" s="487"/>
      <c r="E240" s="488"/>
      <c r="F240" s="489"/>
      <c r="G240" s="488"/>
      <c r="H240" s="488"/>
      <c r="I240" s="488"/>
      <c r="J240" s="488"/>
    </row>
    <row r="241" spans="1:10" ht="20.25" customHeight="1">
      <c r="A241" s="487"/>
      <c r="B241" s="487"/>
      <c r="C241" s="487"/>
      <c r="D241" s="487"/>
      <c r="E241" s="488"/>
      <c r="F241" s="489"/>
      <c r="G241" s="488"/>
      <c r="H241" s="488"/>
      <c r="I241" s="488"/>
      <c r="J241" s="488"/>
    </row>
    <row r="242" spans="1:10" ht="20.25" customHeight="1">
      <c r="A242" s="487"/>
      <c r="B242" s="487"/>
      <c r="C242" s="487"/>
      <c r="D242" s="487"/>
      <c r="E242" s="488"/>
      <c r="F242" s="489"/>
      <c r="G242" s="488"/>
      <c r="H242" s="488"/>
      <c r="I242" s="488"/>
      <c r="J242" s="488"/>
    </row>
    <row r="243" spans="1:10" ht="20.25" customHeight="1">
      <c r="A243" s="487"/>
      <c r="B243" s="487"/>
      <c r="C243" s="487"/>
      <c r="D243" s="487"/>
      <c r="E243" s="488"/>
      <c r="F243" s="489"/>
      <c r="G243" s="488"/>
      <c r="H243" s="488"/>
      <c r="I243" s="488"/>
      <c r="J243" s="488"/>
    </row>
    <row r="244" spans="1:10" ht="20.25" customHeight="1">
      <c r="A244" s="487"/>
      <c r="B244" s="487"/>
      <c r="C244" s="487"/>
      <c r="D244" s="487"/>
      <c r="E244" s="488"/>
      <c r="F244" s="489"/>
      <c r="G244" s="488"/>
      <c r="H244" s="488"/>
      <c r="I244" s="488"/>
      <c r="J244" s="488"/>
    </row>
    <row r="245" spans="1:10" ht="20.25" customHeight="1">
      <c r="A245" s="487"/>
      <c r="B245" s="487"/>
      <c r="C245" s="487"/>
      <c r="D245" s="487"/>
      <c r="E245" s="488"/>
      <c r="F245" s="489"/>
      <c r="G245" s="488"/>
      <c r="H245" s="488"/>
      <c r="I245" s="488"/>
      <c r="J245" s="488"/>
    </row>
    <row r="246" spans="1:10" ht="20.25" customHeight="1">
      <c r="A246" s="487"/>
      <c r="B246" s="487"/>
      <c r="C246" s="487"/>
      <c r="D246" s="487"/>
      <c r="E246" s="488"/>
      <c r="F246" s="489"/>
      <c r="G246" s="488"/>
      <c r="H246" s="488"/>
      <c r="I246" s="488"/>
      <c r="J246" s="488"/>
    </row>
    <row r="247" spans="1:10" ht="20.25" customHeight="1">
      <c r="A247" s="487"/>
      <c r="B247" s="487"/>
      <c r="C247" s="487"/>
      <c r="D247" s="487"/>
      <c r="E247" s="488"/>
      <c r="F247" s="489"/>
      <c r="G247" s="488"/>
      <c r="H247" s="488"/>
      <c r="I247" s="488"/>
      <c r="J247" s="488"/>
    </row>
    <row r="248" spans="1:10" ht="20.25" customHeight="1">
      <c r="A248" s="487"/>
      <c r="B248" s="487"/>
      <c r="C248" s="487"/>
      <c r="D248" s="487"/>
      <c r="E248" s="488"/>
      <c r="F248" s="489"/>
      <c r="G248" s="488"/>
      <c r="H248" s="488"/>
      <c r="I248" s="488"/>
      <c r="J248" s="488"/>
    </row>
    <row r="249" spans="1:10" ht="20.25" customHeight="1">
      <c r="A249" s="487"/>
      <c r="B249" s="487"/>
      <c r="C249" s="487"/>
      <c r="D249" s="487"/>
      <c r="E249" s="488"/>
      <c r="F249" s="489"/>
      <c r="G249" s="488"/>
      <c r="H249" s="488"/>
      <c r="I249" s="488"/>
      <c r="J249" s="488"/>
    </row>
    <row r="250" spans="1:10" ht="20.25" customHeight="1">
      <c r="A250" s="487"/>
      <c r="B250" s="487"/>
      <c r="C250" s="487"/>
      <c r="D250" s="487"/>
      <c r="E250" s="488"/>
      <c r="F250" s="489"/>
      <c r="G250" s="488"/>
      <c r="H250" s="488"/>
      <c r="I250" s="488"/>
      <c r="J250" s="488"/>
    </row>
    <row r="251" spans="1:10" ht="20.25" customHeight="1">
      <c r="A251" s="487"/>
      <c r="B251" s="487"/>
      <c r="C251" s="487"/>
      <c r="D251" s="487"/>
      <c r="E251" s="488"/>
      <c r="F251" s="489"/>
      <c r="G251" s="488"/>
      <c r="H251" s="488"/>
      <c r="I251" s="488"/>
      <c r="J251" s="488"/>
    </row>
    <row r="252" spans="1:10" ht="20.25" customHeight="1">
      <c r="A252" s="487"/>
      <c r="B252" s="487"/>
      <c r="C252" s="487"/>
      <c r="D252" s="487"/>
      <c r="E252" s="488"/>
      <c r="F252" s="489"/>
      <c r="G252" s="488"/>
      <c r="H252" s="488"/>
      <c r="I252" s="488"/>
      <c r="J252" s="488"/>
    </row>
    <row r="253" spans="1:10" ht="20.25" customHeight="1">
      <c r="A253" s="487"/>
      <c r="B253" s="487"/>
      <c r="C253" s="487"/>
      <c r="D253" s="487"/>
      <c r="E253" s="488"/>
      <c r="F253" s="489"/>
      <c r="G253" s="488"/>
      <c r="H253" s="488"/>
      <c r="I253" s="488"/>
      <c r="J253" s="488"/>
    </row>
    <row r="254" spans="1:10" ht="20.25" customHeight="1">
      <c r="A254" s="487"/>
      <c r="B254" s="487"/>
      <c r="C254" s="487"/>
      <c r="D254" s="487"/>
      <c r="E254" s="488"/>
      <c r="F254" s="489"/>
      <c r="G254" s="488"/>
      <c r="H254" s="488"/>
      <c r="I254" s="488"/>
      <c r="J254" s="488"/>
    </row>
    <row r="255" spans="1:10" ht="20.25" customHeight="1">
      <c r="A255" s="487"/>
      <c r="B255" s="487"/>
      <c r="C255" s="487"/>
      <c r="D255" s="487"/>
      <c r="E255" s="488"/>
      <c r="F255" s="489"/>
      <c r="G255" s="488"/>
      <c r="H255" s="488"/>
      <c r="I255" s="488"/>
      <c r="J255" s="488"/>
    </row>
    <row r="256" spans="1:10" ht="20.25" customHeight="1">
      <c r="A256" s="487"/>
      <c r="B256" s="487"/>
      <c r="C256" s="487"/>
      <c r="D256" s="487"/>
      <c r="E256" s="488"/>
      <c r="F256" s="489"/>
      <c r="G256" s="488"/>
      <c r="H256" s="488"/>
      <c r="I256" s="488"/>
      <c r="J256" s="488"/>
    </row>
    <row r="257" spans="1:10" ht="20.25" customHeight="1">
      <c r="A257" s="487"/>
      <c r="B257" s="487"/>
      <c r="C257" s="487"/>
      <c r="D257" s="487"/>
      <c r="E257" s="488"/>
      <c r="F257" s="489"/>
      <c r="G257" s="488"/>
      <c r="H257" s="488"/>
      <c r="I257" s="488"/>
      <c r="J257" s="488"/>
    </row>
    <row r="258" spans="1:10" ht="20.25" customHeight="1">
      <c r="A258" s="487"/>
      <c r="B258" s="487"/>
      <c r="C258" s="487"/>
      <c r="D258" s="487"/>
      <c r="E258" s="488"/>
      <c r="F258" s="489"/>
      <c r="G258" s="488"/>
      <c r="H258" s="488"/>
      <c r="I258" s="488"/>
      <c r="J258" s="488"/>
    </row>
    <row r="259" spans="1:10" ht="20.25" customHeight="1">
      <c r="A259" s="487"/>
      <c r="B259" s="487"/>
      <c r="C259" s="487"/>
      <c r="D259" s="487"/>
      <c r="E259" s="488"/>
      <c r="F259" s="489"/>
      <c r="G259" s="488"/>
      <c r="H259" s="488"/>
      <c r="I259" s="488"/>
      <c r="J259" s="488"/>
    </row>
    <row r="260" spans="1:10" ht="20.25" customHeight="1">
      <c r="A260" s="487"/>
      <c r="B260" s="487"/>
      <c r="C260" s="487"/>
      <c r="D260" s="487"/>
      <c r="E260" s="488"/>
      <c r="F260" s="489"/>
      <c r="G260" s="488"/>
      <c r="H260" s="488"/>
      <c r="I260" s="488"/>
      <c r="J260" s="488"/>
    </row>
    <row r="261" spans="1:10" ht="20.25" customHeight="1">
      <c r="A261" s="487"/>
      <c r="B261" s="487"/>
      <c r="C261" s="487"/>
      <c r="D261" s="487"/>
      <c r="E261" s="488"/>
      <c r="F261" s="489"/>
      <c r="G261" s="488"/>
      <c r="H261" s="488"/>
      <c r="I261" s="488"/>
      <c r="J261" s="488"/>
    </row>
    <row r="262" spans="1:10" ht="20.25" customHeight="1">
      <c r="A262" s="487"/>
      <c r="B262" s="487"/>
      <c r="C262" s="487"/>
      <c r="D262" s="487"/>
      <c r="E262" s="488"/>
      <c r="F262" s="489"/>
      <c r="G262" s="488"/>
      <c r="H262" s="488"/>
      <c r="I262" s="488"/>
      <c r="J262" s="488"/>
    </row>
    <row r="263" spans="1:10" ht="20.25" customHeight="1">
      <c r="A263" s="487"/>
      <c r="B263" s="487"/>
      <c r="C263" s="487"/>
      <c r="D263" s="487"/>
      <c r="E263" s="488"/>
      <c r="F263" s="489"/>
      <c r="G263" s="488"/>
      <c r="H263" s="488"/>
      <c r="I263" s="488"/>
      <c r="J263" s="488"/>
    </row>
    <row r="264" spans="1:10" ht="20.25" customHeight="1">
      <c r="A264" s="487"/>
      <c r="B264" s="487"/>
      <c r="C264" s="487"/>
      <c r="D264" s="487"/>
      <c r="E264" s="488"/>
      <c r="F264" s="489"/>
      <c r="G264" s="488"/>
      <c r="H264" s="488"/>
      <c r="I264" s="488"/>
      <c r="J264" s="488"/>
    </row>
    <row r="265" spans="1:10" ht="20.25" customHeight="1">
      <c r="A265" s="487"/>
      <c r="B265" s="487"/>
      <c r="C265" s="487"/>
      <c r="D265" s="487"/>
      <c r="E265" s="488"/>
      <c r="F265" s="489"/>
      <c r="G265" s="488"/>
      <c r="H265" s="488"/>
      <c r="I265" s="488"/>
      <c r="J265" s="488"/>
    </row>
    <row r="266" spans="1:10" ht="20.25" customHeight="1">
      <c r="A266" s="487"/>
      <c r="B266" s="487"/>
      <c r="C266" s="487"/>
      <c r="D266" s="487"/>
      <c r="E266" s="488"/>
      <c r="F266" s="489"/>
      <c r="G266" s="488"/>
      <c r="H266" s="488"/>
      <c r="I266" s="488"/>
      <c r="J266" s="488"/>
    </row>
    <row r="267" spans="1:10" ht="20.25" customHeight="1">
      <c r="A267" s="487"/>
      <c r="B267" s="487"/>
      <c r="C267" s="487"/>
      <c r="D267" s="487"/>
      <c r="E267" s="488"/>
      <c r="F267" s="489"/>
      <c r="G267" s="488"/>
      <c r="H267" s="488"/>
      <c r="I267" s="488"/>
      <c r="J267" s="488"/>
    </row>
    <row r="268" spans="1:10" ht="20.25" customHeight="1">
      <c r="A268" s="487"/>
      <c r="B268" s="487"/>
      <c r="C268" s="487"/>
      <c r="D268" s="487"/>
      <c r="E268" s="488"/>
      <c r="F268" s="489"/>
      <c r="G268" s="488"/>
      <c r="H268" s="488"/>
      <c r="I268" s="488"/>
      <c r="J268" s="488"/>
    </row>
    <row r="269" spans="1:10" ht="20.25" customHeight="1">
      <c r="A269" s="487"/>
      <c r="B269" s="487"/>
      <c r="C269" s="487"/>
      <c r="D269" s="487"/>
      <c r="E269" s="488"/>
      <c r="F269" s="489"/>
      <c r="G269" s="488"/>
      <c r="H269" s="488"/>
      <c r="I269" s="488"/>
      <c r="J269" s="488"/>
    </row>
    <row r="270" spans="1:10" ht="20.25" customHeight="1">
      <c r="A270" s="487"/>
      <c r="B270" s="487"/>
      <c r="C270" s="487"/>
      <c r="D270" s="487"/>
      <c r="E270" s="488"/>
      <c r="F270" s="489"/>
      <c r="G270" s="488"/>
      <c r="H270" s="488"/>
      <c r="I270" s="488"/>
      <c r="J270" s="488"/>
    </row>
    <row r="271" spans="1:10" ht="20.25" customHeight="1">
      <c r="A271" s="487"/>
      <c r="B271" s="487"/>
      <c r="C271" s="487"/>
      <c r="D271" s="487"/>
      <c r="E271" s="488"/>
      <c r="F271" s="489"/>
      <c r="G271" s="488"/>
      <c r="H271" s="488"/>
      <c r="I271" s="488"/>
      <c r="J271" s="488"/>
    </row>
    <row r="272" spans="1:10" ht="20.25" customHeight="1">
      <c r="A272" s="487"/>
      <c r="B272" s="487"/>
      <c r="C272" s="487"/>
      <c r="D272" s="487"/>
      <c r="E272" s="488"/>
      <c r="F272" s="489"/>
      <c r="G272" s="488"/>
      <c r="H272" s="488"/>
      <c r="I272" s="488"/>
      <c r="J272" s="488"/>
    </row>
    <row r="273" spans="1:10" ht="20.25" customHeight="1">
      <c r="A273" s="487"/>
      <c r="B273" s="487"/>
      <c r="C273" s="487"/>
      <c r="D273" s="487"/>
      <c r="E273" s="488"/>
      <c r="F273" s="489"/>
      <c r="G273" s="488"/>
      <c r="H273" s="488"/>
      <c r="I273" s="488"/>
      <c r="J273" s="488"/>
    </row>
    <row r="274" spans="1:10" ht="20.25" customHeight="1">
      <c r="A274" s="487"/>
      <c r="B274" s="487"/>
      <c r="C274" s="487"/>
      <c r="D274" s="487"/>
      <c r="E274" s="488"/>
      <c r="F274" s="489"/>
      <c r="G274" s="488"/>
      <c r="H274" s="488"/>
      <c r="I274" s="488"/>
      <c r="J274" s="488"/>
    </row>
    <row r="275" spans="1:10" ht="20.25" customHeight="1">
      <c r="A275" s="487"/>
      <c r="B275" s="487"/>
      <c r="C275" s="487"/>
      <c r="D275" s="487"/>
      <c r="E275" s="488"/>
      <c r="F275" s="489"/>
      <c r="G275" s="488"/>
      <c r="H275" s="488"/>
      <c r="I275" s="488"/>
      <c r="J275" s="488"/>
    </row>
    <row r="276" spans="1:10" ht="20.25" customHeight="1">
      <c r="A276" s="487"/>
      <c r="B276" s="487"/>
      <c r="C276" s="487"/>
      <c r="D276" s="487"/>
      <c r="E276" s="488"/>
      <c r="F276" s="489"/>
      <c r="G276" s="488"/>
      <c r="H276" s="488"/>
      <c r="I276" s="488"/>
      <c r="J276" s="488"/>
    </row>
    <row r="277" spans="1:10" ht="20.25" customHeight="1">
      <c r="A277" s="487"/>
      <c r="B277" s="487"/>
      <c r="C277" s="487"/>
      <c r="D277" s="487"/>
      <c r="E277" s="488"/>
      <c r="F277" s="489"/>
      <c r="G277" s="488"/>
      <c r="H277" s="488"/>
      <c r="I277" s="488"/>
      <c r="J277" s="488"/>
    </row>
    <row r="278" spans="1:10" ht="20.25" customHeight="1">
      <c r="A278" s="487"/>
      <c r="B278" s="487"/>
      <c r="C278" s="487"/>
      <c r="D278" s="487"/>
      <c r="E278" s="488"/>
      <c r="F278" s="489"/>
      <c r="G278" s="488"/>
      <c r="H278" s="488"/>
      <c r="I278" s="488"/>
      <c r="J278" s="488"/>
    </row>
    <row r="279" spans="1:10" ht="20.25" customHeight="1">
      <c r="A279" s="487"/>
      <c r="B279" s="487"/>
      <c r="C279" s="487"/>
      <c r="D279" s="487"/>
      <c r="E279" s="488"/>
      <c r="F279" s="489"/>
      <c r="G279" s="488"/>
      <c r="H279" s="488"/>
      <c r="I279" s="488"/>
      <c r="J279" s="488"/>
    </row>
    <row r="280" spans="1:10" ht="20.25" customHeight="1">
      <c r="A280" s="487"/>
      <c r="B280" s="487"/>
      <c r="C280" s="487"/>
      <c r="D280" s="487"/>
      <c r="E280" s="488"/>
      <c r="F280" s="489"/>
      <c r="G280" s="488"/>
      <c r="H280" s="488"/>
      <c r="I280" s="488"/>
      <c r="J280" s="488"/>
    </row>
    <row r="281" spans="1:10" ht="20.25" customHeight="1">
      <c r="A281" s="487"/>
      <c r="B281" s="487"/>
      <c r="C281" s="487"/>
      <c r="D281" s="487"/>
      <c r="E281" s="488"/>
      <c r="F281" s="489"/>
      <c r="G281" s="488"/>
      <c r="H281" s="488"/>
      <c r="I281" s="488"/>
      <c r="J281" s="488"/>
    </row>
    <row r="282" spans="1:10" ht="20.25" customHeight="1">
      <c r="A282" s="487"/>
      <c r="B282" s="487"/>
      <c r="C282" s="487"/>
      <c r="D282" s="487"/>
      <c r="E282" s="488"/>
      <c r="F282" s="489"/>
      <c r="G282" s="488"/>
      <c r="H282" s="488"/>
      <c r="I282" s="488"/>
      <c r="J282" s="488"/>
    </row>
    <row r="283" spans="1:10" ht="20.25" customHeight="1">
      <c r="A283" s="487"/>
      <c r="B283" s="487"/>
      <c r="C283" s="487"/>
      <c r="D283" s="487"/>
      <c r="E283" s="488"/>
      <c r="F283" s="489"/>
      <c r="G283" s="488"/>
      <c r="H283" s="488"/>
      <c r="I283" s="488"/>
      <c r="J283" s="488"/>
    </row>
    <row r="284" spans="1:10" ht="20.25" customHeight="1">
      <c r="A284" s="487"/>
      <c r="B284" s="487"/>
      <c r="C284" s="487"/>
      <c r="D284" s="487"/>
      <c r="E284" s="488"/>
      <c r="F284" s="489"/>
      <c r="G284" s="488"/>
      <c r="H284" s="488"/>
      <c r="I284" s="488"/>
      <c r="J284" s="488"/>
    </row>
    <row r="285" spans="1:10" ht="20.25" customHeight="1">
      <c r="A285" s="487"/>
      <c r="B285" s="487"/>
      <c r="C285" s="487"/>
      <c r="D285" s="487"/>
      <c r="E285" s="488"/>
      <c r="F285" s="489"/>
      <c r="G285" s="488"/>
      <c r="H285" s="488"/>
      <c r="I285" s="488"/>
      <c r="J285" s="488"/>
    </row>
    <row r="286" spans="1:10" ht="20.25" customHeight="1">
      <c r="A286" s="487"/>
      <c r="B286" s="487"/>
      <c r="C286" s="487"/>
      <c r="D286" s="487"/>
      <c r="E286" s="488"/>
      <c r="F286" s="489"/>
      <c r="G286" s="488"/>
      <c r="H286" s="488"/>
      <c r="I286" s="488"/>
      <c r="J286" s="488"/>
    </row>
    <row r="287" spans="1:10" ht="20.25" customHeight="1">
      <c r="A287" s="487"/>
      <c r="B287" s="487"/>
      <c r="C287" s="487"/>
      <c r="D287" s="487"/>
      <c r="E287" s="488"/>
      <c r="F287" s="489"/>
      <c r="G287" s="488"/>
      <c r="H287" s="488"/>
      <c r="I287" s="488"/>
      <c r="J287" s="488"/>
    </row>
    <row r="288" spans="5:10" ht="20.25" customHeight="1">
      <c r="E288" s="488"/>
      <c r="F288" s="489"/>
      <c r="G288" s="488"/>
      <c r="H288" s="488"/>
      <c r="I288" s="488"/>
      <c r="J288" s="488"/>
    </row>
    <row r="289" spans="5:10" ht="20.25" customHeight="1">
      <c r="E289" s="488"/>
      <c r="F289" s="489"/>
      <c r="G289" s="488"/>
      <c r="H289" s="488"/>
      <c r="I289" s="488"/>
      <c r="J289" s="488"/>
    </row>
    <row r="290" spans="5:10" ht="20.25" customHeight="1">
      <c r="E290" s="488"/>
      <c r="F290" s="489"/>
      <c r="G290" s="488"/>
      <c r="H290" s="488"/>
      <c r="I290" s="488"/>
      <c r="J290" s="488"/>
    </row>
    <row r="291" spans="5:10" ht="20.25" customHeight="1">
      <c r="E291" s="488"/>
      <c r="F291" s="489"/>
      <c r="G291" s="488"/>
      <c r="H291" s="488"/>
      <c r="I291" s="488"/>
      <c r="J291" s="488"/>
    </row>
    <row r="292" spans="5:10" ht="20.25" customHeight="1">
      <c r="E292" s="488"/>
      <c r="F292" s="489"/>
      <c r="G292" s="488"/>
      <c r="H292" s="488"/>
      <c r="I292" s="488"/>
      <c r="J292" s="488"/>
    </row>
    <row r="293" spans="5:10" ht="20.25" customHeight="1">
      <c r="E293" s="488"/>
      <c r="F293" s="489"/>
      <c r="G293" s="488"/>
      <c r="H293" s="488"/>
      <c r="I293" s="488"/>
      <c r="J293" s="488"/>
    </row>
    <row r="294" spans="5:10" ht="20.25" customHeight="1">
      <c r="E294" s="488"/>
      <c r="F294" s="489"/>
      <c r="G294" s="488"/>
      <c r="H294" s="488"/>
      <c r="I294" s="488"/>
      <c r="J294" s="488"/>
    </row>
    <row r="295" spans="5:10" ht="20.25" customHeight="1">
      <c r="E295" s="488"/>
      <c r="F295" s="489"/>
      <c r="G295" s="488"/>
      <c r="H295" s="488"/>
      <c r="I295" s="488"/>
      <c r="J295" s="488"/>
    </row>
    <row r="296" spans="5:10" ht="20.25" customHeight="1">
      <c r="E296" s="488"/>
      <c r="F296" s="489"/>
      <c r="G296" s="488"/>
      <c r="H296" s="488"/>
      <c r="I296" s="488"/>
      <c r="J296" s="488"/>
    </row>
    <row r="297" spans="5:10" ht="20.25" customHeight="1">
      <c r="E297" s="488"/>
      <c r="F297" s="489"/>
      <c r="G297" s="488"/>
      <c r="H297" s="488"/>
      <c r="I297" s="488"/>
      <c r="J297" s="488"/>
    </row>
    <row r="298" spans="5:10" ht="20.25" customHeight="1">
      <c r="E298" s="488"/>
      <c r="F298" s="489"/>
      <c r="G298" s="488"/>
      <c r="H298" s="488"/>
      <c r="I298" s="488"/>
      <c r="J298" s="488"/>
    </row>
    <row r="299" spans="5:10" ht="20.25" customHeight="1">
      <c r="E299" s="488"/>
      <c r="F299" s="489"/>
      <c r="G299" s="488"/>
      <c r="H299" s="488"/>
      <c r="I299" s="488"/>
      <c r="J299" s="488"/>
    </row>
    <row r="300" spans="5:10" ht="20.25" customHeight="1">
      <c r="E300" s="488"/>
      <c r="F300" s="489"/>
      <c r="G300" s="488"/>
      <c r="H300" s="488"/>
      <c r="I300" s="488"/>
      <c r="J300" s="488"/>
    </row>
    <row r="301" spans="5:10" ht="20.25" customHeight="1">
      <c r="E301" s="488"/>
      <c r="F301" s="489"/>
      <c r="G301" s="488"/>
      <c r="H301" s="488"/>
      <c r="I301" s="488"/>
      <c r="J301" s="488"/>
    </row>
    <row r="302" spans="5:10" ht="20.25" customHeight="1">
      <c r="E302" s="488"/>
      <c r="F302" s="489"/>
      <c r="G302" s="488"/>
      <c r="H302" s="488"/>
      <c r="I302" s="488"/>
      <c r="J302" s="488"/>
    </row>
    <row r="303" spans="5:10" ht="20.25" customHeight="1">
      <c r="E303" s="488"/>
      <c r="F303" s="489"/>
      <c r="G303" s="488"/>
      <c r="H303" s="488"/>
      <c r="I303" s="488"/>
      <c r="J303" s="488"/>
    </row>
    <row r="304" spans="5:10" ht="20.25" customHeight="1">
      <c r="E304" s="488"/>
      <c r="F304" s="489"/>
      <c r="G304" s="488"/>
      <c r="H304" s="488"/>
      <c r="I304" s="488"/>
      <c r="J304" s="488"/>
    </row>
    <row r="305" spans="5:10" ht="20.25" customHeight="1">
      <c r="E305" s="488"/>
      <c r="F305" s="489"/>
      <c r="G305" s="488"/>
      <c r="H305" s="488"/>
      <c r="I305" s="488"/>
      <c r="J305" s="488"/>
    </row>
    <row r="306" spans="5:10" ht="20.25" customHeight="1">
      <c r="E306" s="488"/>
      <c r="F306" s="489"/>
      <c r="G306" s="488"/>
      <c r="H306" s="488"/>
      <c r="I306" s="488"/>
      <c r="J306" s="488"/>
    </row>
    <row r="307" spans="5:10" ht="20.25" customHeight="1">
      <c r="E307" s="488"/>
      <c r="F307" s="489"/>
      <c r="G307" s="488"/>
      <c r="H307" s="488"/>
      <c r="I307" s="488"/>
      <c r="J307" s="488"/>
    </row>
    <row r="308" spans="5:10" ht="20.25" customHeight="1">
      <c r="E308" s="488"/>
      <c r="F308" s="489"/>
      <c r="G308" s="488"/>
      <c r="H308" s="488"/>
      <c r="I308" s="488"/>
      <c r="J308" s="488"/>
    </row>
    <row r="309" spans="5:10" ht="20.25" customHeight="1">
      <c r="E309" s="488"/>
      <c r="F309" s="489"/>
      <c r="G309" s="488"/>
      <c r="H309" s="488"/>
      <c r="I309" s="488"/>
      <c r="J309" s="488"/>
    </row>
    <row r="310" spans="5:10" ht="20.25" customHeight="1">
      <c r="E310" s="488"/>
      <c r="F310" s="489"/>
      <c r="G310" s="488"/>
      <c r="H310" s="488"/>
      <c r="I310" s="488"/>
      <c r="J310" s="488"/>
    </row>
    <row r="311" spans="5:10" ht="20.25" customHeight="1">
      <c r="E311" s="488"/>
      <c r="F311" s="489"/>
      <c r="G311" s="488"/>
      <c r="H311" s="488"/>
      <c r="I311" s="488"/>
      <c r="J311" s="488"/>
    </row>
    <row r="312" spans="5:10" ht="20.25" customHeight="1">
      <c r="E312" s="488"/>
      <c r="F312" s="489"/>
      <c r="G312" s="488"/>
      <c r="H312" s="488"/>
      <c r="I312" s="488"/>
      <c r="J312" s="488"/>
    </row>
    <row r="313" spans="5:10" ht="20.25" customHeight="1">
      <c r="E313" s="488"/>
      <c r="F313" s="489"/>
      <c r="G313" s="488"/>
      <c r="H313" s="488"/>
      <c r="I313" s="488"/>
      <c r="J313" s="488"/>
    </row>
    <row r="314" spans="5:10" ht="20.25" customHeight="1">
      <c r="E314" s="488"/>
      <c r="F314" s="489"/>
      <c r="G314" s="488"/>
      <c r="H314" s="488"/>
      <c r="I314" s="488"/>
      <c r="J314" s="488"/>
    </row>
    <row r="315" spans="5:10" ht="20.25" customHeight="1">
      <c r="E315" s="488"/>
      <c r="F315" s="489"/>
      <c r="G315" s="488"/>
      <c r="H315" s="488"/>
      <c r="I315" s="488"/>
      <c r="J315" s="488"/>
    </row>
    <row r="316" spans="5:10" ht="20.25" customHeight="1">
      <c r="E316" s="488"/>
      <c r="F316" s="489"/>
      <c r="G316" s="488"/>
      <c r="H316" s="488"/>
      <c r="I316" s="488"/>
      <c r="J316" s="488"/>
    </row>
    <row r="317" spans="5:10" ht="20.25" customHeight="1">
      <c r="E317" s="488"/>
      <c r="F317" s="489"/>
      <c r="G317" s="488"/>
      <c r="H317" s="488"/>
      <c r="I317" s="488"/>
      <c r="J317" s="488"/>
    </row>
    <row r="318" spans="5:10" ht="20.25" customHeight="1">
      <c r="E318" s="488"/>
      <c r="F318" s="489"/>
      <c r="G318" s="488"/>
      <c r="H318" s="488"/>
      <c r="I318" s="488"/>
      <c r="J318" s="488"/>
    </row>
    <row r="319" spans="5:10" ht="20.25" customHeight="1">
      <c r="E319" s="488"/>
      <c r="F319" s="489"/>
      <c r="G319" s="488"/>
      <c r="H319" s="488"/>
      <c r="I319" s="488"/>
      <c r="J319" s="488"/>
    </row>
    <row r="320" spans="5:10" ht="20.25" customHeight="1">
      <c r="E320" s="488"/>
      <c r="F320" s="489"/>
      <c r="G320" s="488"/>
      <c r="H320" s="488"/>
      <c r="I320" s="488"/>
      <c r="J320" s="488"/>
    </row>
    <row r="321" spans="5:10" ht="20.25" customHeight="1">
      <c r="E321" s="488"/>
      <c r="F321" s="489"/>
      <c r="G321" s="488"/>
      <c r="H321" s="488"/>
      <c r="I321" s="488"/>
      <c r="J321" s="488"/>
    </row>
    <row r="322" spans="5:10" ht="20.25" customHeight="1">
      <c r="E322" s="488"/>
      <c r="F322" s="489"/>
      <c r="G322" s="488"/>
      <c r="H322" s="488"/>
      <c r="I322" s="488"/>
      <c r="J322" s="488"/>
    </row>
    <row r="323" spans="5:10" ht="20.25" customHeight="1">
      <c r="E323" s="488"/>
      <c r="F323" s="489"/>
      <c r="G323" s="488"/>
      <c r="H323" s="488"/>
      <c r="I323" s="488"/>
      <c r="J323" s="488"/>
    </row>
    <row r="324" spans="5:10" ht="20.25" customHeight="1">
      <c r="E324" s="488"/>
      <c r="F324" s="489"/>
      <c r="G324" s="488"/>
      <c r="H324" s="488"/>
      <c r="I324" s="488"/>
      <c r="J324" s="488"/>
    </row>
    <row r="325" spans="5:10" ht="20.25" customHeight="1">
      <c r="E325" s="488"/>
      <c r="F325" s="489"/>
      <c r="G325" s="488"/>
      <c r="H325" s="488"/>
      <c r="I325" s="488"/>
      <c r="J325" s="488"/>
    </row>
    <row r="326" spans="5:10" ht="20.25" customHeight="1">
      <c r="E326" s="488"/>
      <c r="F326" s="489"/>
      <c r="G326" s="488"/>
      <c r="H326" s="488"/>
      <c r="I326" s="488"/>
      <c r="J326" s="488"/>
    </row>
    <row r="327" spans="5:10" ht="20.25" customHeight="1">
      <c r="E327" s="488"/>
      <c r="F327" s="489"/>
      <c r="G327" s="488"/>
      <c r="H327" s="488"/>
      <c r="I327" s="488"/>
      <c r="J327" s="488"/>
    </row>
    <row r="328" spans="5:10" ht="20.25" customHeight="1">
      <c r="E328" s="488"/>
      <c r="F328" s="489"/>
      <c r="G328" s="488"/>
      <c r="H328" s="488"/>
      <c r="I328" s="488"/>
      <c r="J328" s="488"/>
    </row>
    <row r="329" spans="5:10" ht="20.25" customHeight="1">
      <c r="E329" s="488"/>
      <c r="F329" s="489"/>
      <c r="G329" s="488"/>
      <c r="H329" s="488"/>
      <c r="I329" s="488"/>
      <c r="J329" s="488"/>
    </row>
    <row r="330" spans="5:10" ht="20.25" customHeight="1">
      <c r="E330" s="488"/>
      <c r="F330" s="489"/>
      <c r="G330" s="488"/>
      <c r="H330" s="488"/>
      <c r="I330" s="488"/>
      <c r="J330" s="488"/>
    </row>
    <row r="331" spans="5:10" ht="20.25" customHeight="1">
      <c r="E331" s="488"/>
      <c r="F331" s="489"/>
      <c r="G331" s="488"/>
      <c r="H331" s="488"/>
      <c r="I331" s="488"/>
      <c r="J331" s="488"/>
    </row>
    <row r="332" spans="5:10" ht="20.25" customHeight="1">
      <c r="E332" s="488"/>
      <c r="F332" s="489"/>
      <c r="G332" s="488"/>
      <c r="H332" s="488"/>
      <c r="I332" s="488"/>
      <c r="J332" s="488"/>
    </row>
    <row r="333" spans="5:10" ht="20.25" customHeight="1">
      <c r="E333" s="488"/>
      <c r="F333" s="489"/>
      <c r="G333" s="488"/>
      <c r="H333" s="488"/>
      <c r="I333" s="488"/>
      <c r="J333" s="488"/>
    </row>
    <row r="334" spans="5:10" ht="20.25" customHeight="1">
      <c r="E334" s="488"/>
      <c r="F334" s="489"/>
      <c r="G334" s="488"/>
      <c r="H334" s="488"/>
      <c r="I334" s="488"/>
      <c r="J334" s="488"/>
    </row>
    <row r="335" spans="5:10" ht="20.25" customHeight="1">
      <c r="E335" s="488"/>
      <c r="F335" s="489"/>
      <c r="G335" s="488"/>
      <c r="H335" s="488"/>
      <c r="I335" s="488"/>
      <c r="J335" s="488"/>
    </row>
    <row r="336" spans="5:10" ht="20.25" customHeight="1">
      <c r="E336" s="488"/>
      <c r="F336" s="489"/>
      <c r="G336" s="488"/>
      <c r="H336" s="488"/>
      <c r="I336" s="488"/>
      <c r="J336" s="488"/>
    </row>
    <row r="337" spans="5:10" ht="20.25" customHeight="1">
      <c r="E337" s="488"/>
      <c r="F337" s="489"/>
      <c r="G337" s="488"/>
      <c r="H337" s="488"/>
      <c r="I337" s="488"/>
      <c r="J337" s="488"/>
    </row>
    <row r="338" spans="5:10" ht="20.25" customHeight="1">
      <c r="E338" s="488"/>
      <c r="F338" s="489"/>
      <c r="G338" s="488"/>
      <c r="H338" s="488"/>
      <c r="I338" s="488"/>
      <c r="J338" s="488"/>
    </row>
    <row r="339" spans="5:10" ht="20.25" customHeight="1">
      <c r="E339" s="488"/>
      <c r="F339" s="489"/>
      <c r="G339" s="488"/>
      <c r="H339" s="488"/>
      <c r="I339" s="488"/>
      <c r="J339" s="488"/>
    </row>
    <row r="340" spans="5:10" ht="20.25" customHeight="1">
      <c r="E340" s="488"/>
      <c r="F340" s="489"/>
      <c r="G340" s="488"/>
      <c r="H340" s="488"/>
      <c r="I340" s="488"/>
      <c r="J340" s="488"/>
    </row>
    <row r="341" spans="5:10" ht="20.25" customHeight="1">
      <c r="E341" s="488"/>
      <c r="F341" s="489"/>
      <c r="G341" s="488"/>
      <c r="H341" s="488"/>
      <c r="I341" s="488"/>
      <c r="J341" s="488"/>
    </row>
    <row r="342" spans="5:10" ht="20.25" customHeight="1">
      <c r="E342" s="488"/>
      <c r="F342" s="489"/>
      <c r="G342" s="488"/>
      <c r="H342" s="488"/>
      <c r="I342" s="488"/>
      <c r="J342" s="488"/>
    </row>
    <row r="343" spans="5:10" ht="20.25" customHeight="1">
      <c r="E343" s="488"/>
      <c r="F343" s="489"/>
      <c r="G343" s="488"/>
      <c r="H343" s="488"/>
      <c r="I343" s="488"/>
      <c r="J343" s="488"/>
    </row>
    <row r="344" spans="5:10" ht="20.25" customHeight="1">
      <c r="E344" s="488"/>
      <c r="F344" s="489"/>
      <c r="G344" s="488"/>
      <c r="H344" s="488"/>
      <c r="I344" s="488"/>
      <c r="J344" s="488"/>
    </row>
    <row r="345" spans="5:10" ht="20.25" customHeight="1">
      <c r="E345" s="488"/>
      <c r="F345" s="489"/>
      <c r="G345" s="488"/>
      <c r="H345" s="488"/>
      <c r="I345" s="488"/>
      <c r="J345" s="488"/>
    </row>
    <row r="346" spans="5:10" ht="20.25" customHeight="1">
      <c r="E346" s="488"/>
      <c r="F346" s="489"/>
      <c r="G346" s="488"/>
      <c r="H346" s="488"/>
      <c r="I346" s="488"/>
      <c r="J346" s="488"/>
    </row>
    <row r="347" spans="5:10" ht="20.25" customHeight="1">
      <c r="E347" s="488"/>
      <c r="F347" s="489"/>
      <c r="G347" s="488"/>
      <c r="H347" s="488"/>
      <c r="I347" s="488"/>
      <c r="J347" s="488"/>
    </row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</sheetData>
  <sheetProtection/>
  <mergeCells count="74">
    <mergeCell ref="C74:D74"/>
    <mergeCell ref="C75:D7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6:D6"/>
    <mergeCell ref="C7:D7"/>
    <mergeCell ref="C8:D8"/>
    <mergeCell ref="C9:C10"/>
    <mergeCell ref="C11:C12"/>
    <mergeCell ref="C13:D13"/>
    <mergeCell ref="A1:K1"/>
    <mergeCell ref="A2:K2"/>
    <mergeCell ref="A4:D4"/>
    <mergeCell ref="F4:I4"/>
    <mergeCell ref="K4:K5"/>
    <mergeCell ref="C5:D5"/>
  </mergeCells>
  <printOptions horizontalCentered="1"/>
  <pageMargins left="0.1968503937007874" right="0.1968503937007874" top="0.4330708661417323" bottom="0.2755905511811024" header="0.3937007874015748" footer="0.2362204724409449"/>
  <pageSetup cellComments="asDisplayed" horizontalDpi="600" verticalDpi="600" orientation="portrait" paperSize="12" scale="50" r:id="rId3"/>
  <headerFooter alignWithMargins="0">
    <oddFooter>&amp;C&amp;P쪽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J119"/>
  <sheetViews>
    <sheetView showGridLines="0" zoomScale="72" zoomScaleNormal="72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0" sqref="H90"/>
    </sheetView>
  </sheetViews>
  <sheetFormatPr defaultColWidth="8.88671875" defaultRowHeight="13.5"/>
  <cols>
    <col min="1" max="1" width="14.88671875" style="375" customWidth="1"/>
    <col min="2" max="2" width="15.21484375" style="375" customWidth="1"/>
    <col min="3" max="3" width="17.5546875" style="375" customWidth="1"/>
    <col min="4" max="4" width="18.21484375" style="491" customWidth="1"/>
    <col min="5" max="8" width="17.77734375" style="491" customWidth="1"/>
    <col min="9" max="9" width="16.10546875" style="614" customWidth="1"/>
    <col min="10" max="10" width="15.6640625" style="375" customWidth="1"/>
    <col min="11" max="16384" width="8.88671875" style="375" customWidth="1"/>
  </cols>
  <sheetData>
    <row r="1" spans="1:10" ht="26.25" customHeight="1">
      <c r="A1" s="1442" t="s">
        <v>760</v>
      </c>
      <c r="B1" s="1442"/>
      <c r="C1" s="1442"/>
      <c r="D1" s="1442"/>
      <c r="E1" s="1442"/>
      <c r="F1" s="1442"/>
      <c r="G1" s="1442"/>
      <c r="H1" s="1442"/>
      <c r="I1" s="1442"/>
      <c r="J1" s="1442"/>
    </row>
    <row r="2" spans="1:10" ht="26.25" customHeight="1">
      <c r="A2" s="1443" t="s">
        <v>670</v>
      </c>
      <c r="B2" s="1443"/>
      <c r="C2" s="1443"/>
      <c r="D2" s="1443"/>
      <c r="E2" s="1443"/>
      <c r="F2" s="1443"/>
      <c r="G2" s="1443"/>
      <c r="H2" s="1443"/>
      <c r="I2" s="1443"/>
      <c r="J2" s="1443"/>
    </row>
    <row r="3" spans="1:10" ht="25.5" customHeight="1">
      <c r="A3" s="376" t="s">
        <v>761</v>
      </c>
      <c r="I3" s="491"/>
      <c r="J3" s="379" t="s">
        <v>762</v>
      </c>
    </row>
    <row r="4" spans="1:10" s="385" customFormat="1" ht="28.5" customHeight="1">
      <c r="A4" s="380"/>
      <c r="B4" s="381" t="s">
        <v>673</v>
      </c>
      <c r="C4" s="382"/>
      <c r="D4" s="383" t="s">
        <v>674</v>
      </c>
      <c r="E4" s="1447" t="s">
        <v>675</v>
      </c>
      <c r="F4" s="1448"/>
      <c r="G4" s="1448"/>
      <c r="H4" s="1448"/>
      <c r="I4" s="384" t="s">
        <v>676</v>
      </c>
      <c r="J4" s="1484" t="s">
        <v>763</v>
      </c>
    </row>
    <row r="5" spans="1:10" ht="28.5" customHeight="1" thickBot="1">
      <c r="A5" s="386" t="s">
        <v>678</v>
      </c>
      <c r="B5" s="387" t="s">
        <v>679</v>
      </c>
      <c r="C5" s="387" t="s">
        <v>680</v>
      </c>
      <c r="D5" s="492" t="s">
        <v>681</v>
      </c>
      <c r="E5" s="493" t="s">
        <v>682</v>
      </c>
      <c r="F5" s="390" t="s">
        <v>683</v>
      </c>
      <c r="G5" s="391" t="s">
        <v>684</v>
      </c>
      <c r="H5" s="392" t="s">
        <v>685</v>
      </c>
      <c r="I5" s="494" t="s">
        <v>686</v>
      </c>
      <c r="J5" s="1485"/>
    </row>
    <row r="6" spans="1:10" ht="30" customHeight="1" thickTop="1">
      <c r="A6" s="495" t="s">
        <v>764</v>
      </c>
      <c r="B6" s="496"/>
      <c r="C6" s="496"/>
      <c r="D6" s="497">
        <v>138663397665</v>
      </c>
      <c r="E6" s="498">
        <f>E7+E25+E55+E69+E74+E80+E83+E94+E107+E112</f>
        <v>79029711133</v>
      </c>
      <c r="F6" s="499">
        <f>F7+F25+F55+F69+F74+F80+F83+F94+F107+F112</f>
        <v>39730698163</v>
      </c>
      <c r="G6" s="500">
        <f>G7+G25+G55+G69+G74+G80+G83+G94+G107+G112</f>
        <v>0</v>
      </c>
      <c r="H6" s="501">
        <f>H7+H25+H55+H69+H74+H80+H83+H94+H107+H112</f>
        <v>118760409296</v>
      </c>
      <c r="I6" s="502">
        <f aca="true" t="shared" si="0" ref="I6:I69">H6-D6</f>
        <v>-19902988369</v>
      </c>
      <c r="J6" s="503"/>
    </row>
    <row r="7" spans="1:10" ht="30" customHeight="1">
      <c r="A7" s="504" t="s">
        <v>765</v>
      </c>
      <c r="B7" s="505"/>
      <c r="C7" s="505"/>
      <c r="D7" s="506">
        <v>32054842435</v>
      </c>
      <c r="E7" s="507">
        <f>E8+E17</f>
        <v>32713942380</v>
      </c>
      <c r="F7" s="508">
        <f>F8+F17</f>
        <v>0</v>
      </c>
      <c r="G7" s="508">
        <f>G8+G17</f>
        <v>0</v>
      </c>
      <c r="H7" s="509">
        <f aca="true" t="shared" si="1" ref="H7:H70">SUM(E7+F7-G7)</f>
        <v>32713942380</v>
      </c>
      <c r="I7" s="510">
        <f t="shared" si="0"/>
        <v>659099945</v>
      </c>
      <c r="J7" s="511"/>
    </row>
    <row r="8" spans="1:10" ht="30" customHeight="1">
      <c r="A8" s="512"/>
      <c r="B8" s="513" t="s">
        <v>766</v>
      </c>
      <c r="C8" s="514"/>
      <c r="D8" s="515">
        <v>29356556300</v>
      </c>
      <c r="E8" s="516">
        <f>SUM(E9:E16)</f>
        <v>29941649000</v>
      </c>
      <c r="F8" s="517">
        <f>SUM(F9:F16)</f>
        <v>0</v>
      </c>
      <c r="G8" s="517">
        <f>SUM(G9:G16)</f>
        <v>0</v>
      </c>
      <c r="H8" s="518">
        <f t="shared" si="1"/>
        <v>29941649000</v>
      </c>
      <c r="I8" s="519">
        <f t="shared" si="0"/>
        <v>585092700</v>
      </c>
      <c r="J8" s="520"/>
    </row>
    <row r="9" spans="1:10" ht="30" customHeight="1">
      <c r="A9" s="512"/>
      <c r="B9" s="513"/>
      <c r="C9" s="521" t="s">
        <v>767</v>
      </c>
      <c r="D9" s="522">
        <v>18592798000</v>
      </c>
      <c r="E9" s="523">
        <v>18565000000</v>
      </c>
      <c r="F9" s="417"/>
      <c r="G9" s="417"/>
      <c r="H9" s="524">
        <f t="shared" si="1"/>
        <v>18565000000</v>
      </c>
      <c r="I9" s="525">
        <f t="shared" si="0"/>
        <v>-27798000</v>
      </c>
      <c r="J9" s="526"/>
    </row>
    <row r="10" spans="1:10" ht="30" customHeight="1">
      <c r="A10" s="512"/>
      <c r="B10" s="513"/>
      <c r="C10" s="521" t="s">
        <v>768</v>
      </c>
      <c r="D10" s="522">
        <v>230118500</v>
      </c>
      <c r="E10" s="523">
        <f>255472000+10000000</f>
        <v>265472000</v>
      </c>
      <c r="F10" s="417"/>
      <c r="G10" s="417"/>
      <c r="H10" s="524">
        <f t="shared" si="1"/>
        <v>265472000</v>
      </c>
      <c r="I10" s="525">
        <f t="shared" si="0"/>
        <v>35353500</v>
      </c>
      <c r="J10" s="526"/>
    </row>
    <row r="11" spans="1:10" ht="30" customHeight="1">
      <c r="A11" s="512"/>
      <c r="B11" s="513"/>
      <c r="C11" s="521" t="s">
        <v>769</v>
      </c>
      <c r="D11" s="522">
        <v>5447986000</v>
      </c>
      <c r="E11" s="523">
        <f>5748896000+70370000</f>
        <v>5819266000</v>
      </c>
      <c r="F11" s="417"/>
      <c r="G11" s="417"/>
      <c r="H11" s="524">
        <f t="shared" si="1"/>
        <v>5819266000</v>
      </c>
      <c r="I11" s="525">
        <f t="shared" si="0"/>
        <v>371280000</v>
      </c>
      <c r="J11" s="527"/>
    </row>
    <row r="12" spans="1:10" ht="30" customHeight="1">
      <c r="A12" s="512"/>
      <c r="B12" s="513"/>
      <c r="C12" s="521" t="s">
        <v>770</v>
      </c>
      <c r="D12" s="522">
        <v>1680000000</v>
      </c>
      <c r="E12" s="523">
        <v>1680000000</v>
      </c>
      <c r="F12" s="417"/>
      <c r="G12" s="417"/>
      <c r="H12" s="524">
        <f t="shared" si="1"/>
        <v>1680000000</v>
      </c>
      <c r="I12" s="525">
        <f t="shared" si="0"/>
        <v>0</v>
      </c>
      <c r="J12" s="526"/>
    </row>
    <row r="13" spans="1:10" ht="30" customHeight="1">
      <c r="A13" s="512"/>
      <c r="B13" s="513"/>
      <c r="C13" s="521" t="s">
        <v>771</v>
      </c>
      <c r="D13" s="522">
        <v>1612741800</v>
      </c>
      <c r="E13" s="523">
        <f>1530000000+142000000</f>
        <v>1672000000</v>
      </c>
      <c r="F13" s="417"/>
      <c r="G13" s="417"/>
      <c r="H13" s="524">
        <f t="shared" si="1"/>
        <v>1672000000</v>
      </c>
      <c r="I13" s="525">
        <f t="shared" si="0"/>
        <v>59258200</v>
      </c>
      <c r="J13" s="526"/>
    </row>
    <row r="14" spans="1:10" ht="30" customHeight="1">
      <c r="A14" s="512"/>
      <c r="B14" s="513"/>
      <c r="C14" s="528" t="s">
        <v>772</v>
      </c>
      <c r="D14" s="522">
        <v>290512000</v>
      </c>
      <c r="E14" s="523">
        <f>343945000+27000000</f>
        <v>370945000</v>
      </c>
      <c r="F14" s="417"/>
      <c r="G14" s="417"/>
      <c r="H14" s="524">
        <f t="shared" si="1"/>
        <v>370945000</v>
      </c>
      <c r="I14" s="525">
        <f t="shared" si="0"/>
        <v>80433000</v>
      </c>
      <c r="J14" s="529"/>
    </row>
    <row r="15" spans="1:10" ht="33" customHeight="1">
      <c r="A15" s="512"/>
      <c r="B15" s="513"/>
      <c r="C15" s="528" t="s">
        <v>773</v>
      </c>
      <c r="D15" s="522">
        <v>0</v>
      </c>
      <c r="E15" s="523"/>
      <c r="F15" s="417"/>
      <c r="G15" s="417"/>
      <c r="H15" s="524">
        <f t="shared" si="1"/>
        <v>0</v>
      </c>
      <c r="I15" s="525">
        <f t="shared" si="0"/>
        <v>0</v>
      </c>
      <c r="J15" s="530"/>
    </row>
    <row r="16" spans="1:10" ht="30" customHeight="1">
      <c r="A16" s="512"/>
      <c r="B16" s="513"/>
      <c r="C16" s="521" t="s">
        <v>774</v>
      </c>
      <c r="D16" s="522">
        <v>1502400000</v>
      </c>
      <c r="E16" s="523">
        <v>1568966000</v>
      </c>
      <c r="F16" s="417"/>
      <c r="G16" s="417"/>
      <c r="H16" s="524">
        <f t="shared" si="1"/>
        <v>1568966000</v>
      </c>
      <c r="I16" s="525">
        <f t="shared" si="0"/>
        <v>66566000</v>
      </c>
      <c r="J16" s="526"/>
    </row>
    <row r="17" spans="1:10" ht="30" customHeight="1">
      <c r="A17" s="512"/>
      <c r="B17" s="531" t="s">
        <v>775</v>
      </c>
      <c r="C17" s="528"/>
      <c r="D17" s="532">
        <v>2698286135</v>
      </c>
      <c r="E17" s="523">
        <f>SUM(E18:E24)</f>
        <v>2772293380</v>
      </c>
      <c r="F17" s="533">
        <f>SUM(F18:F24)</f>
        <v>0</v>
      </c>
      <c r="G17" s="533">
        <f>SUM(G18:G24)</f>
        <v>0</v>
      </c>
      <c r="H17" s="524">
        <f t="shared" si="1"/>
        <v>2772293380</v>
      </c>
      <c r="I17" s="525">
        <f t="shared" si="0"/>
        <v>74007245</v>
      </c>
      <c r="J17" s="526"/>
    </row>
    <row r="18" spans="1:10" ht="30" customHeight="1">
      <c r="A18" s="512"/>
      <c r="B18" s="513"/>
      <c r="C18" s="528" t="s">
        <v>776</v>
      </c>
      <c r="D18" s="534">
        <v>1217000000</v>
      </c>
      <c r="E18" s="523">
        <v>1236792000</v>
      </c>
      <c r="F18" s="417"/>
      <c r="G18" s="417"/>
      <c r="H18" s="524">
        <f t="shared" si="1"/>
        <v>1236792000</v>
      </c>
      <c r="I18" s="525">
        <f t="shared" si="0"/>
        <v>19792000</v>
      </c>
      <c r="J18" s="526"/>
    </row>
    <row r="19" spans="1:10" ht="30" customHeight="1">
      <c r="A19" s="512"/>
      <c r="B19" s="513"/>
      <c r="C19" s="521" t="s">
        <v>777</v>
      </c>
      <c r="D19" s="534">
        <v>47200000</v>
      </c>
      <c r="E19" s="523">
        <v>47200000</v>
      </c>
      <c r="F19" s="417"/>
      <c r="G19" s="417"/>
      <c r="H19" s="524">
        <f t="shared" si="1"/>
        <v>47200000</v>
      </c>
      <c r="I19" s="525">
        <f t="shared" si="0"/>
        <v>0</v>
      </c>
      <c r="J19" s="526"/>
    </row>
    <row r="20" spans="1:10" ht="30" customHeight="1">
      <c r="A20" s="512"/>
      <c r="B20" s="513"/>
      <c r="C20" s="521" t="s">
        <v>778</v>
      </c>
      <c r="D20" s="534">
        <v>973000000</v>
      </c>
      <c r="E20" s="523">
        <v>995063380</v>
      </c>
      <c r="F20" s="417"/>
      <c r="G20" s="417"/>
      <c r="H20" s="524">
        <f t="shared" si="1"/>
        <v>995063380</v>
      </c>
      <c r="I20" s="525">
        <f t="shared" si="0"/>
        <v>22063380</v>
      </c>
      <c r="J20" s="526"/>
    </row>
    <row r="21" spans="1:10" ht="30" customHeight="1">
      <c r="A21" s="512"/>
      <c r="B21" s="513"/>
      <c r="C21" s="528" t="s">
        <v>779</v>
      </c>
      <c r="D21" s="534">
        <v>354200000</v>
      </c>
      <c r="E21" s="523">
        <v>386400000</v>
      </c>
      <c r="F21" s="417"/>
      <c r="G21" s="417"/>
      <c r="H21" s="524">
        <f t="shared" si="1"/>
        <v>386400000</v>
      </c>
      <c r="I21" s="525">
        <f t="shared" si="0"/>
        <v>32200000</v>
      </c>
      <c r="J21" s="526"/>
    </row>
    <row r="22" spans="1:10" ht="30" customHeight="1">
      <c r="A22" s="512"/>
      <c r="B22" s="513"/>
      <c r="C22" s="528" t="s">
        <v>780</v>
      </c>
      <c r="D22" s="534">
        <v>2000000</v>
      </c>
      <c r="E22" s="523">
        <v>0</v>
      </c>
      <c r="F22" s="417"/>
      <c r="G22" s="417"/>
      <c r="H22" s="524"/>
      <c r="I22" s="525"/>
      <c r="J22" s="526"/>
    </row>
    <row r="23" spans="1:10" ht="30" customHeight="1">
      <c r="A23" s="512"/>
      <c r="B23" s="513"/>
      <c r="C23" s="521" t="s">
        <v>781</v>
      </c>
      <c r="D23" s="534">
        <v>1000000</v>
      </c>
      <c r="E23" s="523">
        <v>1000000</v>
      </c>
      <c r="F23" s="417"/>
      <c r="G23" s="417"/>
      <c r="H23" s="524">
        <f t="shared" si="1"/>
        <v>1000000</v>
      </c>
      <c r="I23" s="525">
        <f t="shared" si="0"/>
        <v>0</v>
      </c>
      <c r="J23" s="526"/>
    </row>
    <row r="24" spans="1:10" ht="30" customHeight="1">
      <c r="A24" s="535"/>
      <c r="B24" s="536"/>
      <c r="C24" s="537" t="s">
        <v>782</v>
      </c>
      <c r="D24" s="538">
        <v>103886135</v>
      </c>
      <c r="E24" s="539">
        <f>85838000+20000000</f>
        <v>105838000</v>
      </c>
      <c r="F24" s="425"/>
      <c r="G24" s="425"/>
      <c r="H24" s="540">
        <f t="shared" si="1"/>
        <v>105838000</v>
      </c>
      <c r="I24" s="541">
        <f t="shared" si="0"/>
        <v>1951865</v>
      </c>
      <c r="J24" s="542"/>
    </row>
    <row r="25" spans="1:10" ht="28.5" customHeight="1">
      <c r="A25" s="512" t="s">
        <v>783</v>
      </c>
      <c r="B25" s="514"/>
      <c r="C25" s="514"/>
      <c r="D25" s="515">
        <v>8868126402</v>
      </c>
      <c r="E25" s="543">
        <f>E26+E35+E45</f>
        <v>8059963716</v>
      </c>
      <c r="F25" s="517">
        <f>F26+F35+F45</f>
        <v>0</v>
      </c>
      <c r="G25" s="517">
        <f>G26+G35+G45</f>
        <v>0</v>
      </c>
      <c r="H25" s="518">
        <f t="shared" si="1"/>
        <v>8059963716</v>
      </c>
      <c r="I25" s="519">
        <f t="shared" si="0"/>
        <v>-808162686</v>
      </c>
      <c r="J25" s="520"/>
    </row>
    <row r="26" spans="1:10" ht="28.5" customHeight="1">
      <c r="A26" s="512"/>
      <c r="B26" s="513" t="s">
        <v>784</v>
      </c>
      <c r="C26" s="528"/>
      <c r="D26" s="532">
        <v>3546125382</v>
      </c>
      <c r="E26" s="523">
        <f>SUM(E27:E34)</f>
        <v>3076355600</v>
      </c>
      <c r="F26" s="533">
        <f>SUM(F27:F34)</f>
        <v>0</v>
      </c>
      <c r="G26" s="533">
        <f>SUM(G27:G34)</f>
        <v>0</v>
      </c>
      <c r="H26" s="524">
        <f t="shared" si="1"/>
        <v>3076355600</v>
      </c>
      <c r="I26" s="525">
        <f t="shared" si="0"/>
        <v>-469769782</v>
      </c>
      <c r="J26" s="526"/>
    </row>
    <row r="27" spans="1:10" ht="28.5" customHeight="1">
      <c r="A27" s="512"/>
      <c r="B27" s="513"/>
      <c r="C27" s="528" t="s">
        <v>785</v>
      </c>
      <c r="D27" s="534">
        <v>520404116</v>
      </c>
      <c r="E27" s="523">
        <f>420000000+10000000</f>
        <v>430000000</v>
      </c>
      <c r="F27" s="417"/>
      <c r="G27" s="417"/>
      <c r="H27" s="524">
        <f t="shared" si="1"/>
        <v>430000000</v>
      </c>
      <c r="I27" s="525">
        <f t="shared" si="0"/>
        <v>-90404116</v>
      </c>
      <c r="J27" s="544" t="s">
        <v>688</v>
      </c>
    </row>
    <row r="28" spans="1:10" ht="28.5" customHeight="1">
      <c r="A28" s="512"/>
      <c r="B28" s="513"/>
      <c r="C28" s="528" t="s">
        <v>786</v>
      </c>
      <c r="D28" s="534">
        <v>327861200</v>
      </c>
      <c r="E28" s="523">
        <f>285223000+78016000</f>
        <v>363239000</v>
      </c>
      <c r="F28" s="417"/>
      <c r="G28" s="417"/>
      <c r="H28" s="524">
        <f t="shared" si="1"/>
        <v>363239000</v>
      </c>
      <c r="I28" s="525">
        <f t="shared" si="0"/>
        <v>35377800</v>
      </c>
      <c r="J28" s="526"/>
    </row>
    <row r="29" spans="1:10" ht="28.5" customHeight="1">
      <c r="A29" s="512"/>
      <c r="B29" s="513"/>
      <c r="C29" s="528" t="s">
        <v>787</v>
      </c>
      <c r="D29" s="534">
        <v>11500000</v>
      </c>
      <c r="E29" s="523">
        <v>75000000</v>
      </c>
      <c r="F29" s="417"/>
      <c r="G29" s="417"/>
      <c r="H29" s="524">
        <f t="shared" si="1"/>
        <v>75000000</v>
      </c>
      <c r="I29" s="525">
        <f t="shared" si="0"/>
        <v>63500000</v>
      </c>
      <c r="J29" s="526"/>
    </row>
    <row r="30" spans="1:10" ht="28.5" customHeight="1">
      <c r="A30" s="512"/>
      <c r="B30" s="513"/>
      <c r="C30" s="528" t="s">
        <v>788</v>
      </c>
      <c r="D30" s="534">
        <v>10000000</v>
      </c>
      <c r="E30" s="523">
        <v>10000000</v>
      </c>
      <c r="F30" s="417"/>
      <c r="G30" s="417"/>
      <c r="H30" s="524">
        <f t="shared" si="1"/>
        <v>10000000</v>
      </c>
      <c r="I30" s="525">
        <f t="shared" si="0"/>
        <v>0</v>
      </c>
      <c r="J30" s="526"/>
    </row>
    <row r="31" spans="1:10" ht="28.5" customHeight="1">
      <c r="A31" s="512"/>
      <c r="B31" s="513"/>
      <c r="C31" s="528" t="s">
        <v>789</v>
      </c>
      <c r="D31" s="534">
        <v>1608390710</v>
      </c>
      <c r="E31" s="523">
        <f>1378520000+300000000</f>
        <v>1678520000</v>
      </c>
      <c r="F31" s="417"/>
      <c r="G31" s="417"/>
      <c r="H31" s="524">
        <f t="shared" si="1"/>
        <v>1678520000</v>
      </c>
      <c r="I31" s="525">
        <f t="shared" si="0"/>
        <v>70129290</v>
      </c>
      <c r="J31" s="526" t="s">
        <v>688</v>
      </c>
    </row>
    <row r="32" spans="1:10" ht="28.5" customHeight="1">
      <c r="A32" s="512"/>
      <c r="B32" s="513"/>
      <c r="C32" s="528" t="s">
        <v>790</v>
      </c>
      <c r="D32" s="534">
        <v>104333610</v>
      </c>
      <c r="E32" s="523">
        <f>82596770+25692320</f>
        <v>108289090</v>
      </c>
      <c r="F32" s="417"/>
      <c r="G32" s="417"/>
      <c r="H32" s="524">
        <f t="shared" si="1"/>
        <v>108289090</v>
      </c>
      <c r="I32" s="525">
        <f t="shared" si="0"/>
        <v>3955480</v>
      </c>
      <c r="J32" s="526"/>
    </row>
    <row r="33" spans="1:10" ht="28.5" customHeight="1">
      <c r="A33" s="512"/>
      <c r="B33" s="513"/>
      <c r="C33" s="528" t="s">
        <v>791</v>
      </c>
      <c r="D33" s="534">
        <v>8818400</v>
      </c>
      <c r="E33" s="523">
        <f>3075000+6000000</f>
        <v>9075000</v>
      </c>
      <c r="F33" s="417"/>
      <c r="G33" s="417"/>
      <c r="H33" s="524">
        <f t="shared" si="1"/>
        <v>9075000</v>
      </c>
      <c r="I33" s="525">
        <f t="shared" si="0"/>
        <v>256600</v>
      </c>
      <c r="J33" s="526"/>
    </row>
    <row r="34" spans="1:10" ht="28.5" customHeight="1">
      <c r="A34" s="512"/>
      <c r="B34" s="513"/>
      <c r="C34" s="528" t="s">
        <v>792</v>
      </c>
      <c r="D34" s="534">
        <v>954817346</v>
      </c>
      <c r="E34" s="523">
        <f>252932510+149300000</f>
        <v>402232510</v>
      </c>
      <c r="F34" s="417"/>
      <c r="G34" s="417"/>
      <c r="H34" s="524">
        <f t="shared" si="1"/>
        <v>402232510</v>
      </c>
      <c r="I34" s="525">
        <f t="shared" si="0"/>
        <v>-552584836</v>
      </c>
      <c r="J34" s="545"/>
    </row>
    <row r="35" spans="1:10" ht="28.5" customHeight="1">
      <c r="A35" s="512"/>
      <c r="B35" s="531" t="s">
        <v>793</v>
      </c>
      <c r="C35" s="528"/>
      <c r="D35" s="546">
        <v>2685897528</v>
      </c>
      <c r="E35" s="523">
        <f>SUM(E36:E44)</f>
        <v>2524143440</v>
      </c>
      <c r="F35" s="533">
        <f>SUM(F36:F44)</f>
        <v>0</v>
      </c>
      <c r="G35" s="533">
        <f>SUM(G36:G44)</f>
        <v>0</v>
      </c>
      <c r="H35" s="524">
        <f t="shared" si="1"/>
        <v>2524143440</v>
      </c>
      <c r="I35" s="525">
        <f t="shared" si="0"/>
        <v>-161754088</v>
      </c>
      <c r="J35" s="526"/>
    </row>
    <row r="36" spans="1:10" ht="28.5" customHeight="1">
      <c r="A36" s="512"/>
      <c r="B36" s="513"/>
      <c r="C36" s="528" t="s">
        <v>794</v>
      </c>
      <c r="D36" s="534">
        <v>57076440</v>
      </c>
      <c r="E36" s="523">
        <f>61050000+16100000</f>
        <v>77150000</v>
      </c>
      <c r="F36" s="417"/>
      <c r="G36" s="417"/>
      <c r="H36" s="524">
        <f t="shared" si="1"/>
        <v>77150000</v>
      </c>
      <c r="I36" s="525">
        <f t="shared" si="0"/>
        <v>20073560</v>
      </c>
      <c r="J36" s="529"/>
    </row>
    <row r="37" spans="1:10" ht="28.5" customHeight="1">
      <c r="A37" s="512"/>
      <c r="B37" s="513"/>
      <c r="C37" s="514" t="s">
        <v>795</v>
      </c>
      <c r="D37" s="547">
        <v>28045389</v>
      </c>
      <c r="E37" s="523">
        <f>24000000+6000000</f>
        <v>30000000</v>
      </c>
      <c r="F37" s="417"/>
      <c r="G37" s="417"/>
      <c r="H37" s="524">
        <f t="shared" si="1"/>
        <v>30000000</v>
      </c>
      <c r="I37" s="525">
        <f t="shared" si="0"/>
        <v>1954611</v>
      </c>
      <c r="J37" s="526"/>
    </row>
    <row r="38" spans="1:10" ht="28.5" customHeight="1">
      <c r="A38" s="512"/>
      <c r="B38" s="513"/>
      <c r="C38" s="528" t="s">
        <v>796</v>
      </c>
      <c r="D38" s="534">
        <v>101173786</v>
      </c>
      <c r="E38" s="523">
        <f>174771600+26518000</f>
        <v>201289600</v>
      </c>
      <c r="F38" s="417"/>
      <c r="G38" s="417"/>
      <c r="H38" s="524">
        <f t="shared" si="1"/>
        <v>201289600</v>
      </c>
      <c r="I38" s="525">
        <f t="shared" si="0"/>
        <v>100115814</v>
      </c>
      <c r="J38" s="529"/>
    </row>
    <row r="39" spans="1:10" ht="28.5" customHeight="1">
      <c r="A39" s="512"/>
      <c r="B39" s="513"/>
      <c r="C39" s="528" t="s">
        <v>797</v>
      </c>
      <c r="D39" s="534">
        <v>44326000</v>
      </c>
      <c r="E39" s="548">
        <f>36307400+1100000</f>
        <v>37407400</v>
      </c>
      <c r="F39" s="417"/>
      <c r="G39" s="417"/>
      <c r="H39" s="524">
        <f t="shared" si="1"/>
        <v>37407400</v>
      </c>
      <c r="I39" s="525">
        <f t="shared" si="0"/>
        <v>-6918600</v>
      </c>
      <c r="J39" s="529"/>
    </row>
    <row r="40" spans="1:10" ht="28.5" customHeight="1">
      <c r="A40" s="512"/>
      <c r="B40" s="513"/>
      <c r="C40" s="528" t="s">
        <v>798</v>
      </c>
      <c r="D40" s="534">
        <v>392749210</v>
      </c>
      <c r="E40" s="548">
        <f>285842000+87828800</f>
        <v>373670800</v>
      </c>
      <c r="F40" s="417"/>
      <c r="G40" s="417"/>
      <c r="H40" s="524">
        <f t="shared" si="1"/>
        <v>373670800</v>
      </c>
      <c r="I40" s="525">
        <f t="shared" si="0"/>
        <v>-19078410</v>
      </c>
      <c r="J40" s="526"/>
    </row>
    <row r="41" spans="1:10" ht="28.5" customHeight="1">
      <c r="A41" s="512"/>
      <c r="B41" s="513"/>
      <c r="C41" s="528" t="s">
        <v>799</v>
      </c>
      <c r="D41" s="534">
        <v>1108624538</v>
      </c>
      <c r="E41" s="523">
        <f>857661800+274000000</f>
        <v>1131661800</v>
      </c>
      <c r="F41" s="417"/>
      <c r="G41" s="417"/>
      <c r="H41" s="524">
        <f t="shared" si="1"/>
        <v>1131661800</v>
      </c>
      <c r="I41" s="525">
        <f t="shared" si="0"/>
        <v>23037262</v>
      </c>
      <c r="J41" s="526"/>
    </row>
    <row r="42" spans="1:10" ht="28.5" customHeight="1">
      <c r="A42" s="512"/>
      <c r="B42" s="513"/>
      <c r="C42" s="528" t="s">
        <v>800</v>
      </c>
      <c r="D42" s="534">
        <v>187802870</v>
      </c>
      <c r="E42" s="548">
        <f>123219840+10560000</f>
        <v>133779840</v>
      </c>
      <c r="F42" s="417"/>
      <c r="G42" s="417"/>
      <c r="H42" s="524">
        <f t="shared" si="1"/>
        <v>133779840</v>
      </c>
      <c r="I42" s="525">
        <f t="shared" si="0"/>
        <v>-54023030</v>
      </c>
      <c r="J42" s="526"/>
    </row>
    <row r="43" spans="1:10" ht="28.5" customHeight="1">
      <c r="A43" s="512"/>
      <c r="B43" s="513"/>
      <c r="C43" s="528" t="s">
        <v>801</v>
      </c>
      <c r="D43" s="534">
        <v>705628580</v>
      </c>
      <c r="E43" s="548">
        <f>452820000+73900000</f>
        <v>526720000</v>
      </c>
      <c r="F43" s="417">
        <v>0</v>
      </c>
      <c r="G43" s="417"/>
      <c r="H43" s="524">
        <f t="shared" si="1"/>
        <v>526720000</v>
      </c>
      <c r="I43" s="525">
        <f t="shared" si="0"/>
        <v>-178908580</v>
      </c>
      <c r="J43" s="544"/>
    </row>
    <row r="44" spans="1:10" ht="28.5" customHeight="1">
      <c r="A44" s="512"/>
      <c r="B44" s="513"/>
      <c r="C44" s="528" t="s">
        <v>802</v>
      </c>
      <c r="D44" s="534">
        <v>60470715</v>
      </c>
      <c r="E44" s="548">
        <f>8864000+3600000</f>
        <v>12464000</v>
      </c>
      <c r="F44" s="417"/>
      <c r="G44" s="417"/>
      <c r="H44" s="524">
        <f t="shared" si="1"/>
        <v>12464000</v>
      </c>
      <c r="I44" s="525">
        <f t="shared" si="0"/>
        <v>-48006715</v>
      </c>
      <c r="J44" s="526"/>
    </row>
    <row r="45" spans="1:10" ht="28.5" customHeight="1">
      <c r="A45" s="512"/>
      <c r="B45" s="531" t="s">
        <v>803</v>
      </c>
      <c r="C45" s="528"/>
      <c r="D45" s="532">
        <v>2636103492</v>
      </c>
      <c r="E45" s="523">
        <f>SUM(E46:E54)</f>
        <v>2459464676</v>
      </c>
      <c r="F45" s="533">
        <f>SUM(F46:F54)</f>
        <v>0</v>
      </c>
      <c r="G45" s="533">
        <f>SUM(G46:G54)</f>
        <v>0</v>
      </c>
      <c r="H45" s="524">
        <f t="shared" si="1"/>
        <v>2459464676</v>
      </c>
      <c r="I45" s="525">
        <f t="shared" si="0"/>
        <v>-176638816</v>
      </c>
      <c r="J45" s="526"/>
    </row>
    <row r="46" spans="1:10" ht="26.25" customHeight="1">
      <c r="A46" s="512"/>
      <c r="B46" s="513"/>
      <c r="C46" s="528" t="s">
        <v>804</v>
      </c>
      <c r="D46" s="534">
        <v>164016780</v>
      </c>
      <c r="E46" s="548">
        <f>93470000+5000000</f>
        <v>98470000</v>
      </c>
      <c r="F46" s="417"/>
      <c r="G46" s="417"/>
      <c r="H46" s="524">
        <f t="shared" si="1"/>
        <v>98470000</v>
      </c>
      <c r="I46" s="525">
        <f t="shared" si="0"/>
        <v>-65546780</v>
      </c>
      <c r="J46" s="526"/>
    </row>
    <row r="47" spans="1:10" ht="26.25" customHeight="1">
      <c r="A47" s="512"/>
      <c r="B47" s="513"/>
      <c r="C47" s="528" t="s">
        <v>805</v>
      </c>
      <c r="D47" s="549">
        <v>1002052139</v>
      </c>
      <c r="E47" s="523">
        <f>234400000+812200000</f>
        <v>1046600000</v>
      </c>
      <c r="F47" s="417"/>
      <c r="G47" s="417"/>
      <c r="H47" s="524">
        <f t="shared" si="1"/>
        <v>1046600000</v>
      </c>
      <c r="I47" s="525">
        <f t="shared" si="0"/>
        <v>44547861</v>
      </c>
      <c r="J47" s="529"/>
    </row>
    <row r="48" spans="1:10" ht="26.25" customHeight="1">
      <c r="A48" s="512"/>
      <c r="B48" s="513"/>
      <c r="C48" s="514" t="s">
        <v>806</v>
      </c>
      <c r="D48" s="547">
        <v>26000000</v>
      </c>
      <c r="E48" s="523">
        <v>355000000</v>
      </c>
      <c r="F48" s="417"/>
      <c r="G48" s="417"/>
      <c r="H48" s="524">
        <f t="shared" si="1"/>
        <v>355000000</v>
      </c>
      <c r="I48" s="525">
        <f t="shared" si="0"/>
        <v>329000000</v>
      </c>
      <c r="J48" s="520"/>
    </row>
    <row r="49" spans="1:10" ht="26.25" customHeight="1">
      <c r="A49" s="512"/>
      <c r="B49" s="513"/>
      <c r="C49" s="528" t="s">
        <v>807</v>
      </c>
      <c r="D49" s="534">
        <v>208797915</v>
      </c>
      <c r="E49" s="523">
        <f>274200000+11800000</f>
        <v>286000000</v>
      </c>
      <c r="F49" s="417"/>
      <c r="G49" s="417"/>
      <c r="H49" s="524">
        <f t="shared" si="1"/>
        <v>286000000</v>
      </c>
      <c r="I49" s="525">
        <f t="shared" si="0"/>
        <v>77202085</v>
      </c>
      <c r="J49" s="526"/>
    </row>
    <row r="50" spans="1:10" ht="26.25" customHeight="1">
      <c r="A50" s="512"/>
      <c r="B50" s="513"/>
      <c r="C50" s="514" t="s">
        <v>808</v>
      </c>
      <c r="D50" s="547">
        <v>557298028</v>
      </c>
      <c r="E50" s="523">
        <f>375912676+10192000</f>
        <v>386104676</v>
      </c>
      <c r="F50" s="417"/>
      <c r="G50" s="417"/>
      <c r="H50" s="524">
        <f t="shared" si="1"/>
        <v>386104676</v>
      </c>
      <c r="I50" s="525">
        <f t="shared" si="0"/>
        <v>-171193352</v>
      </c>
      <c r="J50" s="550"/>
    </row>
    <row r="51" spans="1:10" ht="26.25" customHeight="1">
      <c r="A51" s="512"/>
      <c r="B51" s="513"/>
      <c r="C51" s="528" t="s">
        <v>809</v>
      </c>
      <c r="D51" s="534">
        <v>5400000</v>
      </c>
      <c r="E51" s="548">
        <f>2140000+2250000</f>
        <v>4390000</v>
      </c>
      <c r="F51" s="417"/>
      <c r="G51" s="417"/>
      <c r="H51" s="524">
        <f t="shared" si="1"/>
        <v>4390000</v>
      </c>
      <c r="I51" s="525">
        <f t="shared" si="0"/>
        <v>-1010000</v>
      </c>
      <c r="J51" s="529"/>
    </row>
    <row r="52" spans="1:10" ht="26.25" customHeight="1">
      <c r="A52" s="512"/>
      <c r="B52" s="513"/>
      <c r="C52" s="528" t="s">
        <v>810</v>
      </c>
      <c r="D52" s="534">
        <v>288382430</v>
      </c>
      <c r="E52" s="548">
        <f>122200000+13300000</f>
        <v>135500000</v>
      </c>
      <c r="F52" s="417"/>
      <c r="G52" s="417"/>
      <c r="H52" s="524">
        <f t="shared" si="1"/>
        <v>135500000</v>
      </c>
      <c r="I52" s="525">
        <f t="shared" si="0"/>
        <v>-152882430</v>
      </c>
      <c r="J52" s="529"/>
    </row>
    <row r="53" spans="1:10" ht="26.25" customHeight="1">
      <c r="A53" s="512"/>
      <c r="B53" s="513"/>
      <c r="C53" s="528" t="s">
        <v>811</v>
      </c>
      <c r="D53" s="534">
        <v>300000</v>
      </c>
      <c r="E53" s="523">
        <v>300000</v>
      </c>
      <c r="F53" s="417"/>
      <c r="G53" s="417"/>
      <c r="H53" s="524">
        <f t="shared" si="1"/>
        <v>300000</v>
      </c>
      <c r="I53" s="525">
        <f t="shared" si="0"/>
        <v>0</v>
      </c>
      <c r="J53" s="526"/>
    </row>
    <row r="54" spans="1:10" ht="26.25" customHeight="1">
      <c r="A54" s="535"/>
      <c r="B54" s="536"/>
      <c r="C54" s="537" t="s">
        <v>812</v>
      </c>
      <c r="D54" s="538">
        <v>383856200</v>
      </c>
      <c r="E54" s="551">
        <v>147100000</v>
      </c>
      <c r="F54" s="425"/>
      <c r="G54" s="425"/>
      <c r="H54" s="540">
        <f t="shared" si="1"/>
        <v>147100000</v>
      </c>
      <c r="I54" s="541">
        <f t="shared" si="0"/>
        <v>-236756200</v>
      </c>
      <c r="J54" s="552"/>
    </row>
    <row r="55" spans="1:10" ht="30" customHeight="1">
      <c r="A55" s="553" t="s">
        <v>813</v>
      </c>
      <c r="B55" s="514"/>
      <c r="C55" s="514"/>
      <c r="D55" s="515">
        <v>15112204854</v>
      </c>
      <c r="E55" s="543">
        <f>E56+E59+E66</f>
        <v>10129569030</v>
      </c>
      <c r="F55" s="517">
        <f>F56+F59+F66</f>
        <v>7762605200</v>
      </c>
      <c r="G55" s="517">
        <f>G56+G59+G66</f>
        <v>0</v>
      </c>
      <c r="H55" s="518">
        <f t="shared" si="1"/>
        <v>17892174230</v>
      </c>
      <c r="I55" s="519">
        <f t="shared" si="0"/>
        <v>2779969376</v>
      </c>
      <c r="J55" s="520"/>
    </row>
    <row r="56" spans="1:10" ht="27.75" customHeight="1">
      <c r="A56" s="512"/>
      <c r="B56" s="513" t="s">
        <v>814</v>
      </c>
      <c r="C56" s="528"/>
      <c r="D56" s="532">
        <v>521000000</v>
      </c>
      <c r="E56" s="523">
        <f>E57+E58</f>
        <v>931000000</v>
      </c>
      <c r="F56" s="533">
        <f>F57+F58</f>
        <v>0</v>
      </c>
      <c r="G56" s="533">
        <f>G57+G58</f>
        <v>0</v>
      </c>
      <c r="H56" s="524">
        <f t="shared" si="1"/>
        <v>931000000</v>
      </c>
      <c r="I56" s="525">
        <f t="shared" si="0"/>
        <v>410000000</v>
      </c>
      <c r="J56" s="526"/>
    </row>
    <row r="57" spans="1:10" ht="27.75" customHeight="1">
      <c r="A57" s="512"/>
      <c r="B57" s="513"/>
      <c r="C57" s="528" t="s">
        <v>814</v>
      </c>
      <c r="D57" s="534">
        <v>510000000</v>
      </c>
      <c r="E57" s="554">
        <f>720000000+200000000</f>
        <v>920000000</v>
      </c>
      <c r="F57" s="417">
        <v>0</v>
      </c>
      <c r="G57" s="417"/>
      <c r="H57" s="524">
        <f t="shared" si="1"/>
        <v>920000000</v>
      </c>
      <c r="I57" s="525">
        <f t="shared" si="0"/>
        <v>410000000</v>
      </c>
      <c r="J57" s="529"/>
    </row>
    <row r="58" spans="1:10" ht="27.75" customHeight="1">
      <c r="A58" s="512"/>
      <c r="B58" s="513"/>
      <c r="C58" s="528" t="s">
        <v>815</v>
      </c>
      <c r="D58" s="534">
        <v>11000000</v>
      </c>
      <c r="E58" s="554">
        <v>11000000</v>
      </c>
      <c r="F58" s="417"/>
      <c r="G58" s="417"/>
      <c r="H58" s="524">
        <f t="shared" si="1"/>
        <v>11000000</v>
      </c>
      <c r="I58" s="525">
        <f t="shared" si="0"/>
        <v>0</v>
      </c>
      <c r="J58" s="529"/>
    </row>
    <row r="59" spans="1:10" ht="30" customHeight="1">
      <c r="A59" s="512"/>
      <c r="B59" s="531" t="s">
        <v>816</v>
      </c>
      <c r="C59" s="528"/>
      <c r="D59" s="532">
        <v>13565189854</v>
      </c>
      <c r="E59" s="523">
        <f>SUM(E60:E65)</f>
        <v>9198569030</v>
      </c>
      <c r="F59" s="533">
        <f>SUM(F60:F65)</f>
        <v>6694605200</v>
      </c>
      <c r="G59" s="533">
        <f>SUM(G60:G65)</f>
        <v>0</v>
      </c>
      <c r="H59" s="524">
        <f t="shared" si="1"/>
        <v>15893174230</v>
      </c>
      <c r="I59" s="525">
        <f t="shared" si="0"/>
        <v>2327984376</v>
      </c>
      <c r="J59" s="526"/>
    </row>
    <row r="60" spans="1:10" ht="24.75" customHeight="1">
      <c r="A60" s="512"/>
      <c r="B60" s="513"/>
      <c r="C60" s="521" t="s">
        <v>817</v>
      </c>
      <c r="D60" s="534">
        <v>6256943391</v>
      </c>
      <c r="E60" s="523">
        <v>0</v>
      </c>
      <c r="F60" s="555">
        <f>5524033000+679290000+398333000+92949200</f>
        <v>6694605200</v>
      </c>
      <c r="G60" s="417"/>
      <c r="H60" s="524">
        <f t="shared" si="1"/>
        <v>6694605200</v>
      </c>
      <c r="I60" s="525">
        <f t="shared" si="0"/>
        <v>437661809</v>
      </c>
      <c r="J60" s="526"/>
    </row>
    <row r="61" spans="1:10" ht="24.75" customHeight="1">
      <c r="A61" s="512"/>
      <c r="B61" s="513"/>
      <c r="C61" s="521" t="s">
        <v>818</v>
      </c>
      <c r="D61" s="534">
        <v>6175181538</v>
      </c>
      <c r="E61" s="548">
        <f>6752839200+1169350600</f>
        <v>7922189800</v>
      </c>
      <c r="F61" s="556"/>
      <c r="G61" s="417"/>
      <c r="H61" s="524">
        <f t="shared" si="1"/>
        <v>7922189800</v>
      </c>
      <c r="I61" s="525">
        <f t="shared" si="0"/>
        <v>1747008262</v>
      </c>
      <c r="J61" s="557"/>
    </row>
    <row r="62" spans="1:10" ht="24.75" customHeight="1">
      <c r="A62" s="512"/>
      <c r="B62" s="513"/>
      <c r="C62" s="528" t="s">
        <v>819</v>
      </c>
      <c r="D62" s="534">
        <v>445652675</v>
      </c>
      <c r="E62" s="523">
        <f>341583230+207024000</f>
        <v>548607230</v>
      </c>
      <c r="F62" s="417"/>
      <c r="G62" s="417"/>
      <c r="H62" s="524">
        <f t="shared" si="1"/>
        <v>548607230</v>
      </c>
      <c r="I62" s="525">
        <f t="shared" si="0"/>
        <v>102954555</v>
      </c>
      <c r="J62" s="529"/>
    </row>
    <row r="63" spans="1:10" ht="24.75" customHeight="1">
      <c r="A63" s="512"/>
      <c r="B63" s="513"/>
      <c r="C63" s="528" t="s">
        <v>820</v>
      </c>
      <c r="D63" s="534">
        <v>31100000</v>
      </c>
      <c r="E63" s="523">
        <f>6000000+25000000</f>
        <v>31000000</v>
      </c>
      <c r="F63" s="417"/>
      <c r="G63" s="417"/>
      <c r="H63" s="524">
        <f t="shared" si="1"/>
        <v>31000000</v>
      </c>
      <c r="I63" s="525">
        <f t="shared" si="0"/>
        <v>-100000</v>
      </c>
      <c r="J63" s="526"/>
    </row>
    <row r="64" spans="1:10" ht="24.75" customHeight="1">
      <c r="A64" s="512"/>
      <c r="B64" s="513"/>
      <c r="C64" s="528" t="s">
        <v>821</v>
      </c>
      <c r="D64" s="534">
        <v>399188950</v>
      </c>
      <c r="E64" s="523">
        <f>437312000+2160000</f>
        <v>439472000</v>
      </c>
      <c r="F64" s="417"/>
      <c r="G64" s="417"/>
      <c r="H64" s="524">
        <f t="shared" si="1"/>
        <v>439472000</v>
      </c>
      <c r="I64" s="525">
        <f t="shared" si="0"/>
        <v>40283050</v>
      </c>
      <c r="J64" s="526"/>
    </row>
    <row r="65" spans="1:10" ht="24.75" customHeight="1">
      <c r="A65" s="512"/>
      <c r="B65" s="513"/>
      <c r="C65" s="528" t="s">
        <v>822</v>
      </c>
      <c r="D65" s="534">
        <v>257123300</v>
      </c>
      <c r="E65" s="523">
        <f>244750000+12550000</f>
        <v>257300000</v>
      </c>
      <c r="F65" s="417"/>
      <c r="G65" s="417"/>
      <c r="H65" s="524">
        <f t="shared" si="1"/>
        <v>257300000</v>
      </c>
      <c r="I65" s="525">
        <f t="shared" si="0"/>
        <v>176700</v>
      </c>
      <c r="J65" s="550"/>
    </row>
    <row r="66" spans="1:10" ht="30" customHeight="1">
      <c r="A66" s="512"/>
      <c r="B66" s="531" t="s">
        <v>823</v>
      </c>
      <c r="C66" s="528"/>
      <c r="D66" s="532">
        <v>1026015000</v>
      </c>
      <c r="E66" s="523">
        <f>E67+E68</f>
        <v>0</v>
      </c>
      <c r="F66" s="533">
        <f>F67+F68</f>
        <v>1068000000</v>
      </c>
      <c r="G66" s="533">
        <f>G67+G68</f>
        <v>0</v>
      </c>
      <c r="H66" s="524">
        <f t="shared" si="1"/>
        <v>1068000000</v>
      </c>
      <c r="I66" s="525">
        <f t="shared" si="0"/>
        <v>41985000</v>
      </c>
      <c r="J66" s="526"/>
    </row>
    <row r="67" spans="1:10" ht="27" customHeight="1">
      <c r="A67" s="512"/>
      <c r="B67" s="513"/>
      <c r="C67" s="521" t="s">
        <v>824</v>
      </c>
      <c r="D67" s="534">
        <v>227000000</v>
      </c>
      <c r="E67" s="554">
        <v>0</v>
      </c>
      <c r="F67" s="417">
        <f>212000000+22000000</f>
        <v>234000000</v>
      </c>
      <c r="G67" s="417"/>
      <c r="H67" s="524">
        <f t="shared" si="1"/>
        <v>234000000</v>
      </c>
      <c r="I67" s="525">
        <f t="shared" si="0"/>
        <v>7000000</v>
      </c>
      <c r="J67" s="526"/>
    </row>
    <row r="68" spans="1:10" ht="30" customHeight="1">
      <c r="A68" s="535"/>
      <c r="B68" s="536"/>
      <c r="C68" s="536" t="s">
        <v>825</v>
      </c>
      <c r="D68" s="558">
        <v>799015000</v>
      </c>
      <c r="E68" s="559">
        <v>0</v>
      </c>
      <c r="F68" s="425">
        <f>752000000+82000000</f>
        <v>834000000</v>
      </c>
      <c r="G68" s="425"/>
      <c r="H68" s="540">
        <f t="shared" si="1"/>
        <v>834000000</v>
      </c>
      <c r="I68" s="541">
        <f t="shared" si="0"/>
        <v>34985000</v>
      </c>
      <c r="J68" s="542"/>
    </row>
    <row r="69" spans="1:10" ht="30" customHeight="1">
      <c r="A69" s="512" t="s">
        <v>826</v>
      </c>
      <c r="B69" s="513"/>
      <c r="C69" s="514"/>
      <c r="D69" s="515">
        <v>55088340</v>
      </c>
      <c r="E69" s="543">
        <f>E70+E72</f>
        <v>50000000</v>
      </c>
      <c r="F69" s="517">
        <f>F70+F72</f>
        <v>0</v>
      </c>
      <c r="G69" s="517">
        <f>G70+G72</f>
        <v>0</v>
      </c>
      <c r="H69" s="518">
        <f t="shared" si="1"/>
        <v>50000000</v>
      </c>
      <c r="I69" s="519">
        <f t="shared" si="0"/>
        <v>-5088340</v>
      </c>
      <c r="J69" s="520"/>
    </row>
    <row r="70" spans="1:10" ht="27" customHeight="1">
      <c r="A70" s="512"/>
      <c r="B70" s="531" t="s">
        <v>827</v>
      </c>
      <c r="C70" s="514"/>
      <c r="D70" s="515">
        <v>0</v>
      </c>
      <c r="E70" s="543">
        <f>SUM(E71)</f>
        <v>0</v>
      </c>
      <c r="F70" s="517">
        <f>SUM(F71)</f>
        <v>0</v>
      </c>
      <c r="G70" s="517">
        <f>SUM(G71)</f>
        <v>0</v>
      </c>
      <c r="H70" s="524">
        <f t="shared" si="1"/>
        <v>0</v>
      </c>
      <c r="I70" s="525">
        <f aca="true" t="shared" si="2" ref="I70:I119">H70-D70</f>
        <v>0</v>
      </c>
      <c r="J70" s="520"/>
    </row>
    <row r="71" spans="1:10" ht="29.25" customHeight="1">
      <c r="A71" s="512"/>
      <c r="B71" s="513"/>
      <c r="C71" s="514" t="s">
        <v>827</v>
      </c>
      <c r="D71" s="547">
        <v>0</v>
      </c>
      <c r="E71" s="523">
        <v>0</v>
      </c>
      <c r="F71" s="417"/>
      <c r="G71" s="417"/>
      <c r="H71" s="524">
        <f aca="true" t="shared" si="3" ref="H71:H119">SUM(E71+F71-G71)</f>
        <v>0</v>
      </c>
      <c r="I71" s="525">
        <f t="shared" si="2"/>
        <v>0</v>
      </c>
      <c r="J71" s="520"/>
    </row>
    <row r="72" spans="1:10" ht="30" customHeight="1">
      <c r="A72" s="512"/>
      <c r="B72" s="560" t="s">
        <v>828</v>
      </c>
      <c r="C72" s="528"/>
      <c r="D72" s="532">
        <v>55088340</v>
      </c>
      <c r="E72" s="523">
        <f>E73</f>
        <v>50000000</v>
      </c>
      <c r="F72" s="533">
        <f>F73</f>
        <v>0</v>
      </c>
      <c r="G72" s="533">
        <f>G73</f>
        <v>0</v>
      </c>
      <c r="H72" s="524">
        <f t="shared" si="3"/>
        <v>50000000</v>
      </c>
      <c r="I72" s="525">
        <f t="shared" si="2"/>
        <v>-5088340</v>
      </c>
      <c r="J72" s="526"/>
    </row>
    <row r="73" spans="1:10" ht="27" customHeight="1">
      <c r="A73" s="535"/>
      <c r="B73" s="536"/>
      <c r="C73" s="537" t="s">
        <v>829</v>
      </c>
      <c r="D73" s="538">
        <v>55088340</v>
      </c>
      <c r="E73" s="559">
        <v>50000000</v>
      </c>
      <c r="F73" s="425"/>
      <c r="G73" s="425"/>
      <c r="H73" s="540">
        <f t="shared" si="3"/>
        <v>50000000</v>
      </c>
      <c r="I73" s="541">
        <f t="shared" si="2"/>
        <v>-5088340</v>
      </c>
      <c r="J73" s="542"/>
    </row>
    <row r="74" spans="1:10" ht="30" customHeight="1">
      <c r="A74" s="561" t="s">
        <v>830</v>
      </c>
      <c r="B74" s="513"/>
      <c r="C74" s="513"/>
      <c r="D74" s="562">
        <v>0</v>
      </c>
      <c r="E74" s="563">
        <f>SUM(E75)</f>
        <v>0</v>
      </c>
      <c r="F74" s="564">
        <f>SUM(F75)</f>
        <v>0</v>
      </c>
      <c r="G74" s="564">
        <f>SUM(G75)</f>
        <v>0</v>
      </c>
      <c r="H74" s="518">
        <f t="shared" si="3"/>
        <v>0</v>
      </c>
      <c r="I74" s="519">
        <f t="shared" si="2"/>
        <v>0</v>
      </c>
      <c r="J74" s="565"/>
    </row>
    <row r="75" spans="1:10" ht="30" customHeight="1">
      <c r="A75" s="512"/>
      <c r="B75" s="566" t="s">
        <v>830</v>
      </c>
      <c r="C75" s="531"/>
      <c r="D75" s="567">
        <v>0</v>
      </c>
      <c r="E75" s="568">
        <f>SUM(E76:E79)</f>
        <v>0</v>
      </c>
      <c r="F75" s="455">
        <f>SUM(F76:F79)</f>
        <v>0</v>
      </c>
      <c r="G75" s="455">
        <f>SUM(G76:G79)</f>
        <v>0</v>
      </c>
      <c r="H75" s="524">
        <f t="shared" si="3"/>
        <v>0</v>
      </c>
      <c r="I75" s="525">
        <f t="shared" si="2"/>
        <v>0</v>
      </c>
      <c r="J75" s="569"/>
    </row>
    <row r="76" spans="1:10" ht="25.5" customHeight="1">
      <c r="A76" s="512"/>
      <c r="B76" s="570"/>
      <c r="C76" s="566" t="s">
        <v>831</v>
      </c>
      <c r="D76" s="571">
        <v>0</v>
      </c>
      <c r="E76" s="523">
        <v>0</v>
      </c>
      <c r="F76" s="455">
        <v>0</v>
      </c>
      <c r="G76" s="455">
        <v>0</v>
      </c>
      <c r="H76" s="524">
        <f t="shared" si="3"/>
        <v>0</v>
      </c>
      <c r="I76" s="525">
        <f t="shared" si="2"/>
        <v>0</v>
      </c>
      <c r="J76" s="569"/>
    </row>
    <row r="77" spans="1:10" ht="25.5" customHeight="1">
      <c r="A77" s="512"/>
      <c r="B77" s="572"/>
      <c r="C77" s="521" t="s">
        <v>832</v>
      </c>
      <c r="D77" s="534">
        <v>0</v>
      </c>
      <c r="E77" s="523">
        <v>0</v>
      </c>
      <c r="F77" s="455">
        <v>0</v>
      </c>
      <c r="G77" s="455">
        <v>0</v>
      </c>
      <c r="H77" s="524">
        <v>0</v>
      </c>
      <c r="I77" s="525"/>
      <c r="J77" s="569"/>
    </row>
    <row r="78" spans="1:10" ht="30" customHeight="1" hidden="1">
      <c r="A78" s="512"/>
      <c r="B78" s="513"/>
      <c r="C78" s="572" t="s">
        <v>833</v>
      </c>
      <c r="D78" s="547">
        <v>0</v>
      </c>
      <c r="E78" s="554">
        <v>0</v>
      </c>
      <c r="F78" s="573">
        <v>0</v>
      </c>
      <c r="G78" s="416">
        <f>SUM(F78)</f>
        <v>0</v>
      </c>
      <c r="H78" s="524">
        <f t="shared" si="3"/>
        <v>0</v>
      </c>
      <c r="I78" s="525">
        <f t="shared" si="2"/>
        <v>0</v>
      </c>
      <c r="J78" s="526"/>
    </row>
    <row r="79" spans="1:10" ht="30" customHeight="1" hidden="1">
      <c r="A79" s="535"/>
      <c r="B79" s="536"/>
      <c r="C79" s="574" t="s">
        <v>834</v>
      </c>
      <c r="D79" s="558">
        <v>0</v>
      </c>
      <c r="E79" s="575">
        <v>0</v>
      </c>
      <c r="F79" s="448">
        <v>0</v>
      </c>
      <c r="G79" s="448">
        <f>SUM(E79)</f>
        <v>0</v>
      </c>
      <c r="H79" s="540">
        <f t="shared" si="3"/>
        <v>0</v>
      </c>
      <c r="I79" s="541">
        <f t="shared" si="2"/>
        <v>0</v>
      </c>
      <c r="J79" s="576"/>
    </row>
    <row r="80" spans="1:10" ht="30" customHeight="1">
      <c r="A80" s="512" t="s">
        <v>835</v>
      </c>
      <c r="B80" s="514"/>
      <c r="C80" s="514"/>
      <c r="D80" s="515">
        <v>330000000</v>
      </c>
      <c r="E80" s="543">
        <f aca="true" t="shared" si="4" ref="E80:G81">SUM(E81)</f>
        <v>300000000</v>
      </c>
      <c r="F80" s="577">
        <f t="shared" si="4"/>
        <v>30000000</v>
      </c>
      <c r="G80" s="577">
        <f t="shared" si="4"/>
        <v>0</v>
      </c>
      <c r="H80" s="518">
        <f t="shared" si="3"/>
        <v>330000000</v>
      </c>
      <c r="I80" s="519">
        <f t="shared" si="2"/>
        <v>0</v>
      </c>
      <c r="J80" s="520"/>
    </row>
    <row r="81" spans="1:10" ht="24.75" customHeight="1">
      <c r="A81" s="512"/>
      <c r="B81" s="513" t="s">
        <v>835</v>
      </c>
      <c r="C81" s="528"/>
      <c r="D81" s="532">
        <v>330000000</v>
      </c>
      <c r="E81" s="523">
        <f t="shared" si="4"/>
        <v>300000000</v>
      </c>
      <c r="F81" s="554">
        <f t="shared" si="4"/>
        <v>30000000</v>
      </c>
      <c r="G81" s="554">
        <f t="shared" si="4"/>
        <v>0</v>
      </c>
      <c r="H81" s="524">
        <f t="shared" si="3"/>
        <v>330000000</v>
      </c>
      <c r="I81" s="525">
        <f t="shared" si="2"/>
        <v>0</v>
      </c>
      <c r="J81" s="526"/>
    </row>
    <row r="82" spans="1:10" ht="24.75" customHeight="1">
      <c r="A82" s="535"/>
      <c r="B82" s="536"/>
      <c r="C82" s="537" t="s">
        <v>835</v>
      </c>
      <c r="D82" s="538">
        <v>330000000</v>
      </c>
      <c r="E82" s="539">
        <f>100000000+200000000</f>
        <v>300000000</v>
      </c>
      <c r="F82" s="425">
        <f>10000000+20000000</f>
        <v>30000000</v>
      </c>
      <c r="G82" s="425">
        <v>0</v>
      </c>
      <c r="H82" s="540">
        <f t="shared" si="3"/>
        <v>330000000</v>
      </c>
      <c r="I82" s="541">
        <f t="shared" si="2"/>
        <v>0</v>
      </c>
      <c r="J82" s="542"/>
    </row>
    <row r="83" spans="1:10" ht="30" customHeight="1">
      <c r="A83" s="553" t="s">
        <v>836</v>
      </c>
      <c r="B83" s="513"/>
      <c r="C83" s="514"/>
      <c r="D83" s="515">
        <v>39255066516</v>
      </c>
      <c r="E83" s="543">
        <f>E86+E84+E89</f>
        <v>0</v>
      </c>
      <c r="F83" s="577">
        <f>F86+F84+F89</f>
        <v>13191884350</v>
      </c>
      <c r="G83" s="577">
        <f>G86+G84+G89</f>
        <v>0</v>
      </c>
      <c r="H83" s="518">
        <f t="shared" si="3"/>
        <v>13191884350</v>
      </c>
      <c r="I83" s="519">
        <f t="shared" si="2"/>
        <v>-26063182166</v>
      </c>
      <c r="J83" s="520"/>
    </row>
    <row r="84" spans="1:10" ht="30" customHeight="1">
      <c r="A84" s="553"/>
      <c r="B84" s="531" t="s">
        <v>837</v>
      </c>
      <c r="C84" s="514"/>
      <c r="D84" s="532">
        <v>0</v>
      </c>
      <c r="E84" s="523">
        <f>E85</f>
        <v>0</v>
      </c>
      <c r="F84" s="554">
        <f>F85</f>
        <v>0</v>
      </c>
      <c r="G84" s="554">
        <f>G85</f>
        <v>0</v>
      </c>
      <c r="H84" s="524">
        <f t="shared" si="3"/>
        <v>0</v>
      </c>
      <c r="I84" s="525">
        <f t="shared" si="2"/>
        <v>0</v>
      </c>
      <c r="J84" s="526"/>
    </row>
    <row r="85" spans="1:10" ht="30" customHeight="1">
      <c r="A85" s="553"/>
      <c r="B85" s="513"/>
      <c r="C85" s="514" t="s">
        <v>838</v>
      </c>
      <c r="D85" s="547">
        <v>0</v>
      </c>
      <c r="E85" s="523">
        <v>0</v>
      </c>
      <c r="F85" s="417"/>
      <c r="G85" s="417"/>
      <c r="H85" s="524">
        <f t="shared" si="3"/>
        <v>0</v>
      </c>
      <c r="I85" s="525">
        <f t="shared" si="2"/>
        <v>0</v>
      </c>
      <c r="J85" s="526"/>
    </row>
    <row r="86" spans="1:10" ht="30" customHeight="1">
      <c r="A86" s="512"/>
      <c r="B86" s="531" t="s">
        <v>839</v>
      </c>
      <c r="C86" s="514"/>
      <c r="D86" s="532">
        <v>70000000</v>
      </c>
      <c r="E86" s="523">
        <f>SUM(E87:E88)</f>
        <v>0</v>
      </c>
      <c r="F86" s="554">
        <f>SUM(F87:F88)</f>
        <v>0</v>
      </c>
      <c r="G86" s="554">
        <f>SUM(G87:G88)</f>
        <v>0</v>
      </c>
      <c r="H86" s="524">
        <f t="shared" si="3"/>
        <v>0</v>
      </c>
      <c r="I86" s="525">
        <f t="shared" si="2"/>
        <v>-70000000</v>
      </c>
      <c r="J86" s="526"/>
    </row>
    <row r="87" spans="1:10" ht="25.5" customHeight="1">
      <c r="A87" s="512"/>
      <c r="B87" s="513"/>
      <c r="C87" s="514" t="s">
        <v>840</v>
      </c>
      <c r="D87" s="534">
        <v>40000000</v>
      </c>
      <c r="E87" s="523">
        <v>0</v>
      </c>
      <c r="F87" s="417"/>
      <c r="G87" s="417"/>
      <c r="H87" s="524">
        <f t="shared" si="3"/>
        <v>0</v>
      </c>
      <c r="I87" s="525">
        <f t="shared" si="2"/>
        <v>-40000000</v>
      </c>
      <c r="J87" s="526"/>
    </row>
    <row r="88" spans="1:10" ht="25.5" customHeight="1">
      <c r="A88" s="512"/>
      <c r="B88" s="514"/>
      <c r="C88" s="572" t="s">
        <v>839</v>
      </c>
      <c r="D88" s="547">
        <v>30000000</v>
      </c>
      <c r="E88" s="523">
        <v>0</v>
      </c>
      <c r="F88" s="417"/>
      <c r="G88" s="417"/>
      <c r="H88" s="524">
        <f t="shared" si="3"/>
        <v>0</v>
      </c>
      <c r="I88" s="525">
        <f t="shared" si="2"/>
        <v>-30000000</v>
      </c>
      <c r="J88" s="520"/>
    </row>
    <row r="89" spans="1:10" ht="30" customHeight="1">
      <c r="A89" s="553"/>
      <c r="B89" s="566" t="s">
        <v>841</v>
      </c>
      <c r="C89" s="514"/>
      <c r="D89" s="578">
        <v>39185066516</v>
      </c>
      <c r="E89" s="548">
        <f>SUM(E90:E93)</f>
        <v>0</v>
      </c>
      <c r="F89" s="579">
        <f>SUM(F90:F93)</f>
        <v>13191884350</v>
      </c>
      <c r="G89" s="580">
        <f>SUM(G90:G93)</f>
        <v>0</v>
      </c>
      <c r="H89" s="524">
        <f t="shared" si="3"/>
        <v>13191884350</v>
      </c>
      <c r="I89" s="525">
        <f t="shared" si="2"/>
        <v>-25993182166</v>
      </c>
      <c r="J89" s="526"/>
    </row>
    <row r="90" spans="1:10" ht="25.5" customHeight="1">
      <c r="A90" s="553"/>
      <c r="B90" s="513"/>
      <c r="C90" s="572" t="s">
        <v>842</v>
      </c>
      <c r="D90" s="547">
        <v>15487156</v>
      </c>
      <c r="E90" s="523">
        <v>0</v>
      </c>
      <c r="F90" s="417">
        <v>12241590</v>
      </c>
      <c r="G90" s="417"/>
      <c r="H90" s="524">
        <f t="shared" si="3"/>
        <v>12241590</v>
      </c>
      <c r="I90" s="525">
        <f t="shared" si="2"/>
        <v>-3245566</v>
      </c>
      <c r="J90" s="526"/>
    </row>
    <row r="91" spans="1:10" ht="25.5" customHeight="1">
      <c r="A91" s="553"/>
      <c r="B91" s="513"/>
      <c r="C91" s="572" t="s">
        <v>843</v>
      </c>
      <c r="D91" s="547">
        <v>21264984360</v>
      </c>
      <c r="E91" s="523">
        <v>0</v>
      </c>
      <c r="F91" s="417">
        <f>12845000000+70142760</f>
        <v>12915142760</v>
      </c>
      <c r="G91" s="417">
        <v>0</v>
      </c>
      <c r="H91" s="524">
        <f t="shared" si="3"/>
        <v>12915142760</v>
      </c>
      <c r="I91" s="525">
        <f t="shared" si="2"/>
        <v>-8349841600</v>
      </c>
      <c r="J91" s="526"/>
    </row>
    <row r="92" spans="1:10" ht="25.5" customHeight="1">
      <c r="A92" s="553"/>
      <c r="B92" s="513"/>
      <c r="C92" s="572" t="s">
        <v>844</v>
      </c>
      <c r="D92" s="547">
        <v>33595000</v>
      </c>
      <c r="E92" s="581"/>
      <c r="F92" s="439">
        <v>93500000</v>
      </c>
      <c r="G92" s="439"/>
      <c r="H92" s="524">
        <f t="shared" si="3"/>
        <v>93500000</v>
      </c>
      <c r="I92" s="582"/>
      <c r="J92" s="526"/>
    </row>
    <row r="93" spans="1:10" ht="25.5" customHeight="1">
      <c r="A93" s="583"/>
      <c r="B93" s="536"/>
      <c r="C93" s="574" t="s">
        <v>845</v>
      </c>
      <c r="D93" s="558">
        <v>17871000000</v>
      </c>
      <c r="E93" s="539">
        <v>0</v>
      </c>
      <c r="F93" s="425">
        <v>171000000</v>
      </c>
      <c r="G93" s="425"/>
      <c r="H93" s="584">
        <f t="shared" si="3"/>
        <v>171000000</v>
      </c>
      <c r="I93" s="585">
        <f t="shared" si="2"/>
        <v>-17700000000</v>
      </c>
      <c r="J93" s="586"/>
    </row>
    <row r="94" spans="1:10" ht="32.25" customHeight="1">
      <c r="A94" s="512" t="s">
        <v>846</v>
      </c>
      <c r="B94" s="513"/>
      <c r="C94" s="514"/>
      <c r="D94" s="515">
        <v>11670149298</v>
      </c>
      <c r="E94" s="543">
        <f>E95+E105</f>
        <v>1937117215</v>
      </c>
      <c r="F94" s="577">
        <f>F95+F105</f>
        <v>10174740636</v>
      </c>
      <c r="G94" s="577">
        <f>G95+G105</f>
        <v>0</v>
      </c>
      <c r="H94" s="518">
        <f t="shared" si="3"/>
        <v>12111857851</v>
      </c>
      <c r="I94" s="519">
        <f t="shared" si="2"/>
        <v>441708553</v>
      </c>
      <c r="J94" s="520"/>
    </row>
    <row r="95" spans="1:10" ht="28.5" customHeight="1">
      <c r="A95" s="512"/>
      <c r="B95" s="560" t="s">
        <v>847</v>
      </c>
      <c r="C95" s="528"/>
      <c r="D95" s="532">
        <v>11670149298</v>
      </c>
      <c r="E95" s="523">
        <f>SUM(E96:E104)</f>
        <v>1937117215</v>
      </c>
      <c r="F95" s="554">
        <f>SUM(F96:F104)</f>
        <v>10174740636</v>
      </c>
      <c r="G95" s="554">
        <f>SUM(G96:G104)</f>
        <v>0</v>
      </c>
      <c r="H95" s="524">
        <f t="shared" si="3"/>
        <v>12111857851</v>
      </c>
      <c r="I95" s="525">
        <f t="shared" si="2"/>
        <v>441708553</v>
      </c>
      <c r="J95" s="526"/>
    </row>
    <row r="96" spans="1:10" ht="26.25" customHeight="1">
      <c r="A96" s="512"/>
      <c r="B96" s="513"/>
      <c r="C96" s="587" t="s">
        <v>848</v>
      </c>
      <c r="D96" s="549">
        <v>962000000</v>
      </c>
      <c r="E96" s="588">
        <v>0</v>
      </c>
      <c r="F96" s="417"/>
      <c r="G96" s="417"/>
      <c r="H96" s="524">
        <f t="shared" si="3"/>
        <v>0</v>
      </c>
      <c r="I96" s="525">
        <f t="shared" si="2"/>
        <v>-962000000</v>
      </c>
      <c r="J96" s="589" t="s">
        <v>688</v>
      </c>
    </row>
    <row r="97" spans="1:10" ht="24" customHeight="1">
      <c r="A97" s="512"/>
      <c r="B97" s="513"/>
      <c r="C97" s="514" t="s">
        <v>849</v>
      </c>
      <c r="D97" s="547">
        <v>0</v>
      </c>
      <c r="E97" s="523">
        <v>0</v>
      </c>
      <c r="F97" s="417"/>
      <c r="G97" s="417"/>
      <c r="H97" s="524">
        <f t="shared" si="3"/>
        <v>0</v>
      </c>
      <c r="I97" s="525">
        <f t="shared" si="2"/>
        <v>0</v>
      </c>
      <c r="J97" s="589" t="s">
        <v>688</v>
      </c>
    </row>
    <row r="98" spans="1:10" ht="24" customHeight="1">
      <c r="A98" s="512"/>
      <c r="B98" s="513"/>
      <c r="C98" s="514" t="s">
        <v>850</v>
      </c>
      <c r="D98" s="547">
        <v>0</v>
      </c>
      <c r="E98" s="523">
        <v>0</v>
      </c>
      <c r="F98" s="417"/>
      <c r="G98" s="417"/>
      <c r="H98" s="524">
        <f t="shared" si="3"/>
        <v>0</v>
      </c>
      <c r="I98" s="525">
        <f t="shared" si="2"/>
        <v>0</v>
      </c>
      <c r="J98" s="526"/>
    </row>
    <row r="99" spans="1:10" ht="26.25" customHeight="1">
      <c r="A99" s="512"/>
      <c r="B99" s="513"/>
      <c r="C99" s="514" t="s">
        <v>851</v>
      </c>
      <c r="D99" s="547">
        <v>217006000</v>
      </c>
      <c r="E99" s="523">
        <f>912477075+390000000</f>
        <v>1302477075</v>
      </c>
      <c r="F99" s="417"/>
      <c r="G99" s="417"/>
      <c r="H99" s="524">
        <f t="shared" si="3"/>
        <v>1302477075</v>
      </c>
      <c r="I99" s="525">
        <f t="shared" si="2"/>
        <v>1085471075</v>
      </c>
      <c r="J99" s="550"/>
    </row>
    <row r="100" spans="1:10" ht="26.25" customHeight="1">
      <c r="A100" s="512"/>
      <c r="B100" s="513"/>
      <c r="C100" s="528" t="s">
        <v>852</v>
      </c>
      <c r="D100" s="549">
        <v>897890800</v>
      </c>
      <c r="E100" s="523">
        <f>64039400+10000000</f>
        <v>74039400</v>
      </c>
      <c r="F100" s="417"/>
      <c r="G100" s="417"/>
      <c r="H100" s="524">
        <f t="shared" si="3"/>
        <v>74039400</v>
      </c>
      <c r="I100" s="525">
        <f t="shared" si="2"/>
        <v>-823851400</v>
      </c>
      <c r="J100" s="550"/>
    </row>
    <row r="101" spans="1:10" ht="24" customHeight="1">
      <c r="A101" s="512"/>
      <c r="B101" s="513"/>
      <c r="C101" s="514" t="s">
        <v>853</v>
      </c>
      <c r="D101" s="547">
        <v>0</v>
      </c>
      <c r="E101" s="523">
        <v>0</v>
      </c>
      <c r="F101" s="417"/>
      <c r="G101" s="417"/>
      <c r="H101" s="524">
        <f t="shared" si="3"/>
        <v>0</v>
      </c>
      <c r="I101" s="525">
        <f t="shared" si="2"/>
        <v>0</v>
      </c>
      <c r="J101" s="520"/>
    </row>
    <row r="102" spans="1:10" ht="24" customHeight="1">
      <c r="A102" s="512"/>
      <c r="B102" s="513"/>
      <c r="C102" s="528" t="s">
        <v>854</v>
      </c>
      <c r="D102" s="534">
        <v>872804768</v>
      </c>
      <c r="E102" s="523">
        <f>247741400+312859340</f>
        <v>560600740</v>
      </c>
      <c r="F102" s="417"/>
      <c r="G102" s="417"/>
      <c r="H102" s="524">
        <f t="shared" si="3"/>
        <v>560600740</v>
      </c>
      <c r="I102" s="525">
        <f t="shared" si="2"/>
        <v>-312204028</v>
      </c>
      <c r="J102" s="526"/>
    </row>
    <row r="103" spans="1:10" ht="24" customHeight="1">
      <c r="A103" s="512"/>
      <c r="B103" s="513"/>
      <c r="C103" s="531" t="s">
        <v>855</v>
      </c>
      <c r="D103" s="571">
        <v>0</v>
      </c>
      <c r="E103" s="523">
        <v>0</v>
      </c>
      <c r="F103" s="417"/>
      <c r="G103" s="417"/>
      <c r="H103" s="524">
        <f t="shared" si="3"/>
        <v>0</v>
      </c>
      <c r="I103" s="525">
        <f t="shared" si="2"/>
        <v>0</v>
      </c>
      <c r="J103" s="526"/>
    </row>
    <row r="104" spans="1:10" ht="26.25" customHeight="1">
      <c r="A104" s="512"/>
      <c r="B104" s="590"/>
      <c r="C104" s="587" t="s">
        <v>856</v>
      </c>
      <c r="D104" s="549">
        <v>8720447730</v>
      </c>
      <c r="E104" s="591">
        <v>0</v>
      </c>
      <c r="F104" s="417">
        <v>10174740636</v>
      </c>
      <c r="G104" s="417"/>
      <c r="H104" s="524">
        <f t="shared" si="3"/>
        <v>10174740636</v>
      </c>
      <c r="I104" s="592">
        <f t="shared" si="2"/>
        <v>1454292906</v>
      </c>
      <c r="J104" s="589"/>
    </row>
    <row r="105" spans="1:10" ht="31.5" customHeight="1">
      <c r="A105" s="478"/>
      <c r="B105" s="593" t="s">
        <v>857</v>
      </c>
      <c r="C105" s="513"/>
      <c r="D105" s="515">
        <v>0</v>
      </c>
      <c r="E105" s="543">
        <f>E106</f>
        <v>0</v>
      </c>
      <c r="F105" s="577">
        <f>F106</f>
        <v>0</v>
      </c>
      <c r="G105" s="577">
        <f>G106</f>
        <v>0</v>
      </c>
      <c r="H105" s="518">
        <f t="shared" si="3"/>
        <v>0</v>
      </c>
      <c r="I105" s="519">
        <f t="shared" si="2"/>
        <v>0</v>
      </c>
      <c r="J105" s="520"/>
    </row>
    <row r="106" spans="1:10" ht="31.5" customHeight="1">
      <c r="A106" s="421"/>
      <c r="B106" s="395"/>
      <c r="C106" s="468" t="s">
        <v>858</v>
      </c>
      <c r="D106" s="594">
        <v>0</v>
      </c>
      <c r="E106" s="595">
        <v>0</v>
      </c>
      <c r="F106" s="457"/>
      <c r="G106" s="457"/>
      <c r="H106" s="540">
        <f t="shared" si="3"/>
        <v>0</v>
      </c>
      <c r="I106" s="541">
        <f t="shared" si="2"/>
        <v>0</v>
      </c>
      <c r="J106" s="542"/>
    </row>
    <row r="107" spans="1:10" ht="26.25" customHeight="1">
      <c r="A107" s="596" t="s">
        <v>859</v>
      </c>
      <c r="B107" s="597" t="s">
        <v>688</v>
      </c>
      <c r="C107" s="598"/>
      <c r="D107" s="515">
        <v>107600000</v>
      </c>
      <c r="E107" s="543">
        <f>SUM(E108+E110)</f>
        <v>0</v>
      </c>
      <c r="F107" s="577">
        <f>SUM(F108+F110)</f>
        <v>100400000</v>
      </c>
      <c r="G107" s="577">
        <f>SUM(G108+G110)</f>
        <v>0</v>
      </c>
      <c r="H107" s="524">
        <f t="shared" si="3"/>
        <v>100400000</v>
      </c>
      <c r="I107" s="525">
        <f t="shared" si="2"/>
        <v>-7200000</v>
      </c>
      <c r="J107" s="526"/>
    </row>
    <row r="108" spans="1:10" ht="26.25" customHeight="1">
      <c r="A108" s="479"/>
      <c r="B108" s="599" t="s">
        <v>860</v>
      </c>
      <c r="C108" s="574"/>
      <c r="D108" s="600">
        <v>0</v>
      </c>
      <c r="E108" s="539">
        <f>SUM(E109)</f>
        <v>0</v>
      </c>
      <c r="F108" s="559">
        <f>SUM(F109)</f>
        <v>0</v>
      </c>
      <c r="G108" s="559">
        <f>SUM(G109)</f>
        <v>0</v>
      </c>
      <c r="H108" s="540">
        <f t="shared" si="3"/>
        <v>0</v>
      </c>
      <c r="I108" s="541">
        <f t="shared" si="2"/>
        <v>0</v>
      </c>
      <c r="J108" s="542"/>
    </row>
    <row r="109" spans="1:10" ht="26.25" customHeight="1">
      <c r="A109" s="478"/>
      <c r="B109" s="514"/>
      <c r="C109" s="601" t="s">
        <v>860</v>
      </c>
      <c r="D109" s="602">
        <v>0</v>
      </c>
      <c r="E109" s="543">
        <v>0</v>
      </c>
      <c r="F109" s="477"/>
      <c r="G109" s="477"/>
      <c r="H109" s="518">
        <f t="shared" si="3"/>
        <v>0</v>
      </c>
      <c r="I109" s="519">
        <f t="shared" si="2"/>
        <v>0</v>
      </c>
      <c r="J109" s="520"/>
    </row>
    <row r="110" spans="1:10" ht="26.25" customHeight="1">
      <c r="A110" s="478"/>
      <c r="B110" s="593" t="s">
        <v>861</v>
      </c>
      <c r="C110" s="513"/>
      <c r="D110" s="603">
        <v>107600000</v>
      </c>
      <c r="E110" s="523">
        <f>SUM(E111)</f>
        <v>0</v>
      </c>
      <c r="F110" s="554">
        <f>SUM(F111)</f>
        <v>100400000</v>
      </c>
      <c r="G110" s="554">
        <f>SUM(G111)</f>
        <v>0</v>
      </c>
      <c r="H110" s="524">
        <f t="shared" si="3"/>
        <v>100400000</v>
      </c>
      <c r="I110" s="525">
        <f t="shared" si="2"/>
        <v>-7200000</v>
      </c>
      <c r="J110" s="526"/>
    </row>
    <row r="111" spans="1:10" ht="26.25" customHeight="1">
      <c r="A111" s="479"/>
      <c r="B111" s="536"/>
      <c r="C111" s="604" t="s">
        <v>862</v>
      </c>
      <c r="D111" s="605">
        <v>107600000</v>
      </c>
      <c r="E111" s="581">
        <v>0</v>
      </c>
      <c r="F111" s="439">
        <v>100400000</v>
      </c>
      <c r="G111" s="439"/>
      <c r="H111" s="540">
        <f t="shared" si="3"/>
        <v>100400000</v>
      </c>
      <c r="I111" s="541">
        <f t="shared" si="2"/>
        <v>-7200000</v>
      </c>
      <c r="J111" s="542"/>
    </row>
    <row r="112" spans="1:10" ht="27" customHeight="1">
      <c r="A112" s="470" t="s">
        <v>863</v>
      </c>
      <c r="B112" s="471"/>
      <c r="C112" s="471"/>
      <c r="D112" s="606">
        <v>31210319820</v>
      </c>
      <c r="E112" s="607">
        <f>2003527736+29639236056-5803645000</f>
        <v>25839118792</v>
      </c>
      <c r="F112" s="608">
        <f>-6497275446+9164698423+5803645000</f>
        <v>8471067977</v>
      </c>
      <c r="G112" s="609"/>
      <c r="H112" s="509">
        <f t="shared" si="3"/>
        <v>34310186769</v>
      </c>
      <c r="I112" s="510">
        <f t="shared" si="2"/>
        <v>3099866949</v>
      </c>
      <c r="J112" s="511"/>
    </row>
    <row r="113" spans="1:10" ht="27" customHeight="1">
      <c r="A113" s="408"/>
      <c r="B113" s="409" t="s">
        <v>864</v>
      </c>
      <c r="C113" s="402"/>
      <c r="D113" s="610">
        <v>0</v>
      </c>
      <c r="E113" s="611">
        <f>SUM(E114:E115)</f>
        <v>0</v>
      </c>
      <c r="F113" s="477"/>
      <c r="G113" s="477"/>
      <c r="H113" s="612">
        <f t="shared" si="3"/>
        <v>0</v>
      </c>
      <c r="I113" s="519">
        <f t="shared" si="2"/>
        <v>0</v>
      </c>
      <c r="J113" s="520"/>
    </row>
    <row r="114" spans="1:10" ht="27" customHeight="1">
      <c r="A114" s="408"/>
      <c r="B114" s="409"/>
      <c r="C114" s="402" t="s">
        <v>865</v>
      </c>
      <c r="D114" s="428">
        <v>0</v>
      </c>
      <c r="E114" s="548">
        <v>0</v>
      </c>
      <c r="F114" s="417"/>
      <c r="G114" s="417"/>
      <c r="H114" s="524">
        <f t="shared" si="3"/>
        <v>0</v>
      </c>
      <c r="I114" s="525">
        <f t="shared" si="2"/>
        <v>0</v>
      </c>
      <c r="J114" s="526"/>
    </row>
    <row r="115" spans="1:10" ht="27" customHeight="1">
      <c r="A115" s="408"/>
      <c r="B115" s="402"/>
      <c r="C115" s="402" t="s">
        <v>866</v>
      </c>
      <c r="D115" s="428">
        <v>0</v>
      </c>
      <c r="E115" s="548">
        <v>0</v>
      </c>
      <c r="F115" s="417"/>
      <c r="G115" s="417"/>
      <c r="H115" s="524">
        <f t="shared" si="3"/>
        <v>0</v>
      </c>
      <c r="I115" s="525">
        <f t="shared" si="2"/>
        <v>0</v>
      </c>
      <c r="J115" s="526"/>
    </row>
    <row r="116" spans="1:10" ht="30" customHeight="1">
      <c r="A116" s="408"/>
      <c r="B116" s="409" t="s">
        <v>867</v>
      </c>
      <c r="C116" s="402"/>
      <c r="D116" s="613">
        <v>0</v>
      </c>
      <c r="E116" s="548">
        <f>SUM(E117:E119)</f>
        <v>0</v>
      </c>
      <c r="F116" s="417"/>
      <c r="G116" s="417"/>
      <c r="H116" s="524">
        <f t="shared" si="3"/>
        <v>0</v>
      </c>
      <c r="I116" s="525">
        <f t="shared" si="2"/>
        <v>0</v>
      </c>
      <c r="J116" s="526"/>
    </row>
    <row r="117" spans="1:10" ht="30" customHeight="1">
      <c r="A117" s="408"/>
      <c r="B117" s="409"/>
      <c r="C117" s="402" t="s">
        <v>868</v>
      </c>
      <c r="D117" s="428">
        <v>0</v>
      </c>
      <c r="E117" s="548">
        <v>0</v>
      </c>
      <c r="F117" s="417"/>
      <c r="G117" s="417"/>
      <c r="H117" s="524">
        <f t="shared" si="3"/>
        <v>0</v>
      </c>
      <c r="I117" s="525">
        <f t="shared" si="2"/>
        <v>0</v>
      </c>
      <c r="J117" s="526"/>
    </row>
    <row r="118" spans="1:10" ht="30" customHeight="1">
      <c r="A118" s="478"/>
      <c r="B118" s="409"/>
      <c r="C118" s="418" t="s">
        <v>869</v>
      </c>
      <c r="D118" s="428">
        <v>0</v>
      </c>
      <c r="E118" s="548">
        <v>0</v>
      </c>
      <c r="F118" s="417"/>
      <c r="G118" s="417"/>
      <c r="H118" s="524">
        <f t="shared" si="3"/>
        <v>0</v>
      </c>
      <c r="I118" s="525">
        <f t="shared" si="2"/>
        <v>0</v>
      </c>
      <c r="J118" s="526"/>
    </row>
    <row r="119" spans="1:10" ht="30" customHeight="1">
      <c r="A119" s="479"/>
      <c r="B119" s="395"/>
      <c r="C119" s="395" t="s">
        <v>870</v>
      </c>
      <c r="D119" s="422">
        <v>0</v>
      </c>
      <c r="E119" s="551">
        <v>0</v>
      </c>
      <c r="F119" s="425"/>
      <c r="G119" s="425"/>
      <c r="H119" s="540">
        <f t="shared" si="3"/>
        <v>0</v>
      </c>
      <c r="I119" s="541">
        <f t="shared" si="2"/>
        <v>0</v>
      </c>
      <c r="J119" s="542"/>
    </row>
    <row r="120" ht="36" customHeight="1"/>
    <row r="121" ht="27.75" customHeight="1"/>
    <row r="122" ht="32.25" customHeight="1"/>
    <row r="123" ht="41.25" customHeight="1"/>
    <row r="124" ht="41.25" customHeight="1"/>
    <row r="125" ht="38.25" customHeight="1"/>
    <row r="126" ht="36" customHeight="1"/>
    <row r="127" ht="39.75" customHeight="1"/>
    <row r="128" ht="39" customHeight="1"/>
    <row r="129" ht="39.75" customHeight="1"/>
    <row r="130" ht="35.25" customHeight="1"/>
    <row r="131" ht="36" customHeight="1"/>
    <row r="132" ht="39" customHeight="1"/>
    <row r="133" ht="36" customHeight="1"/>
    <row r="134" ht="36.75" customHeight="1"/>
    <row r="135" ht="36" customHeight="1"/>
    <row r="136" ht="38.25" customHeight="1"/>
    <row r="137" ht="30.75" customHeight="1"/>
    <row r="138" ht="24" customHeight="1"/>
    <row r="139" ht="27" customHeight="1"/>
    <row r="140" ht="28.5" customHeight="1"/>
    <row r="141" ht="27.75" customHeight="1"/>
    <row r="142" ht="24" customHeight="1"/>
    <row r="143" ht="30.75" customHeight="1"/>
    <row r="144" ht="36" customHeight="1"/>
    <row r="145" ht="27.75" customHeight="1"/>
    <row r="146" ht="26.25" customHeight="1"/>
    <row r="147" ht="29.25" customHeight="1"/>
    <row r="148" ht="32.25" customHeight="1"/>
    <row r="149" ht="33.75" customHeight="1"/>
    <row r="150" ht="30.75" customHeight="1"/>
    <row r="151" ht="25.5" customHeight="1"/>
    <row r="152" ht="21.75" customHeight="1"/>
    <row r="153" ht="26.25" customHeight="1"/>
    <row r="154" ht="23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</sheetData>
  <sheetProtection/>
  <mergeCells count="4">
    <mergeCell ref="A1:J1"/>
    <mergeCell ref="A2:J2"/>
    <mergeCell ref="E4:H4"/>
    <mergeCell ref="J4:J5"/>
  </mergeCells>
  <printOptions horizontalCentered="1"/>
  <pageMargins left="0" right="0" top="0.78" bottom="0.47244094488189" header="0.511811023622047" footer="0.236220472440945"/>
  <pageSetup cellComments="asDisplayed" horizontalDpi="300" verticalDpi="300" orientation="portrait" paperSize="12" scale="60" r:id="rId3"/>
  <headerFooter alignWithMargins="0">
    <oddFooter>&amp;C&amp;P쪽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7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21484375" style="61" customWidth="1"/>
    <col min="2" max="2" width="64.99609375" style="61" customWidth="1"/>
    <col min="3" max="3" width="22.3359375" style="61" customWidth="1"/>
    <col min="4" max="4" width="14.77734375" style="0" customWidth="1"/>
  </cols>
  <sheetData>
    <row r="1" ht="13.5">
      <c r="A1" s="77" t="s">
        <v>89</v>
      </c>
    </row>
    <row r="2" spans="1:4" ht="37.5" customHeight="1">
      <c r="A2" s="1486" t="s">
        <v>90</v>
      </c>
      <c r="B2" s="1486"/>
      <c r="C2" s="1486"/>
      <c r="D2" s="1486"/>
    </row>
    <row r="3" spans="1:4" ht="21" customHeight="1">
      <c r="A3" s="78"/>
      <c r="B3" s="78"/>
      <c r="C3" s="78"/>
      <c r="D3" s="78"/>
    </row>
    <row r="4" spans="1:4" ht="19.5" customHeight="1">
      <c r="A4" s="60"/>
      <c r="B4" s="60"/>
      <c r="C4" s="60"/>
      <c r="D4" s="79" t="s">
        <v>144</v>
      </c>
    </row>
    <row r="5" spans="1:4" s="100" customFormat="1" ht="34.5" customHeight="1">
      <c r="A5" s="110" t="s">
        <v>122</v>
      </c>
      <c r="B5" s="111" t="s">
        <v>80</v>
      </c>
      <c r="C5" s="112" t="s">
        <v>127</v>
      </c>
      <c r="D5" s="113" t="s">
        <v>81</v>
      </c>
    </row>
    <row r="6" spans="1:4" s="102" customFormat="1" ht="336" customHeight="1">
      <c r="A6" s="114" t="s">
        <v>120</v>
      </c>
      <c r="B6" s="101" t="s">
        <v>91</v>
      </c>
      <c r="C6" s="80" t="s">
        <v>120</v>
      </c>
      <c r="D6" s="115"/>
    </row>
    <row r="7" spans="1:4" s="102" customFormat="1" ht="40.5" customHeight="1">
      <c r="A7" s="116" t="s">
        <v>137</v>
      </c>
      <c r="B7" s="88" t="s">
        <v>120</v>
      </c>
      <c r="C7" s="88" t="s">
        <v>120</v>
      </c>
      <c r="D7" s="117"/>
    </row>
  </sheetData>
  <sheetProtection/>
  <mergeCells count="1">
    <mergeCell ref="A2:D2"/>
  </mergeCells>
  <printOptions/>
  <pageMargins left="0.92" right="0.2" top="0.63" bottom="0.52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3.77734375" style="73" customWidth="1"/>
    <col min="2" max="2" width="16.99609375" style="73" customWidth="1"/>
    <col min="3" max="4" width="11.21484375" style="73" customWidth="1"/>
    <col min="5" max="5" width="11.4453125" style="73" customWidth="1"/>
    <col min="6" max="6" width="10.4453125" style="73" customWidth="1"/>
    <col min="7" max="8" width="11.21484375" style="73" customWidth="1"/>
    <col min="9" max="9" width="11.99609375" style="73" customWidth="1"/>
    <col min="10" max="16384" width="8.88671875" style="73" customWidth="1"/>
  </cols>
  <sheetData>
    <row r="1" s="97" customFormat="1" ht="13.5">
      <c r="A1" s="97" t="s">
        <v>151</v>
      </c>
    </row>
    <row r="2" spans="1:9" ht="31.5">
      <c r="A2" s="1489" t="s">
        <v>93</v>
      </c>
      <c r="B2" s="1489"/>
      <c r="C2" s="1489"/>
      <c r="D2" s="1489"/>
      <c r="E2" s="1489"/>
      <c r="F2" s="1489"/>
      <c r="G2" s="1489"/>
      <c r="H2" s="1489"/>
      <c r="I2" s="1489"/>
    </row>
    <row r="3" spans="1:9" ht="20.25">
      <c r="A3" s="75"/>
      <c r="B3" s="75"/>
      <c r="C3" s="75"/>
      <c r="D3" s="75"/>
      <c r="E3" s="75"/>
      <c r="F3" s="75"/>
      <c r="G3" s="75"/>
      <c r="H3" s="75"/>
      <c r="I3" s="75"/>
    </row>
    <row r="4" spans="1:9" ht="18.75" customHeight="1">
      <c r="A4" s="73" t="s">
        <v>101</v>
      </c>
      <c r="I4" s="79" t="s">
        <v>144</v>
      </c>
    </row>
    <row r="5" spans="1:9" s="98" customFormat="1" ht="26.25" customHeight="1">
      <c r="A5" s="1490" t="s">
        <v>152</v>
      </c>
      <c r="B5" s="1492" t="s">
        <v>153</v>
      </c>
      <c r="C5" s="1492" t="s">
        <v>154</v>
      </c>
      <c r="D5" s="1492"/>
      <c r="E5" s="1496" t="s">
        <v>195</v>
      </c>
      <c r="F5" s="1496" t="s">
        <v>196</v>
      </c>
      <c r="G5" s="1496" t="s">
        <v>197</v>
      </c>
      <c r="H5" s="1496" t="s">
        <v>198</v>
      </c>
      <c r="I5" s="1494" t="s">
        <v>99</v>
      </c>
    </row>
    <row r="6" spans="1:9" s="98" customFormat="1" ht="26.25" customHeight="1">
      <c r="A6" s="1491"/>
      <c r="B6" s="1493"/>
      <c r="C6" s="99" t="s">
        <v>155</v>
      </c>
      <c r="D6" s="99" t="s">
        <v>100</v>
      </c>
      <c r="E6" s="1497"/>
      <c r="F6" s="1497"/>
      <c r="G6" s="1498"/>
      <c r="H6" s="1497"/>
      <c r="I6" s="1495"/>
    </row>
    <row r="7" spans="1:9" s="98" customFormat="1" ht="33" customHeight="1">
      <c r="A7" s="197"/>
      <c r="B7" s="198" t="s">
        <v>38</v>
      </c>
      <c r="C7" s="211"/>
      <c r="D7" s="203"/>
      <c r="E7" s="199"/>
      <c r="F7" s="200"/>
      <c r="G7" s="198"/>
      <c r="H7" s="198"/>
      <c r="I7" s="196"/>
    </row>
    <row r="8" spans="1:9" s="98" customFormat="1" ht="282.75" customHeight="1">
      <c r="A8" s="204"/>
      <c r="B8" s="206" t="s">
        <v>39</v>
      </c>
      <c r="C8" s="207" t="s">
        <v>40</v>
      </c>
      <c r="D8" s="208" t="s">
        <v>41</v>
      </c>
      <c r="E8" s="208" t="s">
        <v>227</v>
      </c>
      <c r="F8" s="209" t="s">
        <v>42</v>
      </c>
      <c r="G8" s="207" t="s">
        <v>43</v>
      </c>
      <c r="H8" s="210" t="s">
        <v>120</v>
      </c>
      <c r="I8" s="205"/>
    </row>
    <row r="9" spans="1:9" s="122" customFormat="1" ht="36" customHeight="1">
      <c r="A9" s="1487" t="s">
        <v>156</v>
      </c>
      <c r="B9" s="1488"/>
      <c r="C9" s="118"/>
      <c r="D9" s="89">
        <f>SUM(D8:D8)</f>
        <v>0</v>
      </c>
      <c r="E9" s="119">
        <f>SUM(E7)</f>
        <v>0</v>
      </c>
      <c r="F9" s="118"/>
      <c r="G9" s="118"/>
      <c r="H9" s="120" t="s">
        <v>120</v>
      </c>
      <c r="I9" s="121"/>
    </row>
  </sheetData>
  <sheetProtection/>
  <mergeCells count="10">
    <mergeCell ref="A9:B9"/>
    <mergeCell ref="A2:I2"/>
    <mergeCell ref="A5:A6"/>
    <mergeCell ref="B5:B6"/>
    <mergeCell ref="C5:D5"/>
    <mergeCell ref="I5:I6"/>
    <mergeCell ref="E5:E6"/>
    <mergeCell ref="F5:F6"/>
    <mergeCell ref="G5:G6"/>
    <mergeCell ref="H5:H6"/>
  </mergeCells>
  <printOptions/>
  <pageMargins left="1.06" right="0.32" top="0.72" bottom="0.32" header="0.5" footer="0.3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3"/>
  <sheetViews>
    <sheetView showGridLines="0" zoomScale="90" zoomScaleNormal="90" zoomScalePageLayoutView="0" workbookViewId="0" topLeftCell="A1">
      <selection activeCell="A1" sqref="A1"/>
    </sheetView>
  </sheetViews>
  <sheetFormatPr defaultColWidth="8.88671875" defaultRowHeight="13.5"/>
  <cols>
    <col min="1" max="1" width="6.99609375" style="939" customWidth="1"/>
    <col min="2" max="2" width="10.6640625" style="939" customWidth="1"/>
    <col min="3" max="3" width="11.77734375" style="940" customWidth="1"/>
    <col min="4" max="4" width="5.3359375" style="939" customWidth="1"/>
    <col min="5" max="5" width="8.5546875" style="939" customWidth="1"/>
    <col min="6" max="6" width="7.10546875" style="939" customWidth="1"/>
    <col min="7" max="7" width="8.77734375" style="939" customWidth="1"/>
    <col min="8" max="8" width="10.99609375" style="939" customWidth="1"/>
    <col min="9" max="9" width="13.6640625" style="939" customWidth="1"/>
    <col min="10" max="10" width="13.5546875" style="939" customWidth="1"/>
    <col min="11" max="11" width="16.5546875" style="939" customWidth="1"/>
    <col min="12" max="12" width="15.10546875" style="939" customWidth="1"/>
    <col min="13" max="13" width="7.6640625" style="939" customWidth="1"/>
    <col min="14" max="14" width="12.88671875" style="939" customWidth="1"/>
    <col min="15" max="16384" width="8.88671875" style="939" customWidth="1"/>
  </cols>
  <sheetData>
    <row r="1" ht="14.25">
      <c r="A1" s="938" t="s">
        <v>1414</v>
      </c>
    </row>
    <row r="2" spans="1:13" ht="27" customHeight="1">
      <c r="A2" s="1519" t="s">
        <v>1415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</row>
    <row r="3" spans="1:13" ht="22.5" customHeight="1">
      <c r="A3" s="1151" t="s">
        <v>1416</v>
      </c>
      <c r="B3" s="1151"/>
      <c r="C3" s="1152"/>
      <c r="D3" s="1153"/>
      <c r="E3" s="1153"/>
      <c r="F3" s="1153"/>
      <c r="G3" s="1153"/>
      <c r="H3" s="1151"/>
      <c r="I3" s="1151"/>
      <c r="J3" s="1151"/>
      <c r="K3" s="1151"/>
      <c r="L3" s="1516" t="s">
        <v>1417</v>
      </c>
      <c r="M3" s="1516"/>
    </row>
    <row r="4" spans="1:13" ht="21" customHeight="1">
      <c r="A4" s="1517" t="s">
        <v>1418</v>
      </c>
      <c r="B4" s="1499" t="s">
        <v>1419</v>
      </c>
      <c r="C4" s="1499" t="s">
        <v>1420</v>
      </c>
      <c r="D4" s="1499" t="s">
        <v>1421</v>
      </c>
      <c r="E4" s="1499" t="s">
        <v>1422</v>
      </c>
      <c r="F4" s="1499" t="s">
        <v>1423</v>
      </c>
      <c r="G4" s="1499" t="s">
        <v>1424</v>
      </c>
      <c r="H4" s="1499" t="s">
        <v>1425</v>
      </c>
      <c r="I4" s="1499"/>
      <c r="J4" s="1499" t="s">
        <v>1426</v>
      </c>
      <c r="K4" s="1499"/>
      <c r="L4" s="1499" t="s">
        <v>1427</v>
      </c>
      <c r="M4" s="1513" t="s">
        <v>1428</v>
      </c>
    </row>
    <row r="5" spans="1:13" ht="19.5" customHeight="1">
      <c r="A5" s="1518"/>
      <c r="B5" s="1500"/>
      <c r="C5" s="1500"/>
      <c r="D5" s="1500"/>
      <c r="E5" s="1500"/>
      <c r="F5" s="1500"/>
      <c r="G5" s="1500"/>
      <c r="H5" s="1154" t="s">
        <v>1429</v>
      </c>
      <c r="I5" s="1154" t="s">
        <v>1430</v>
      </c>
      <c r="J5" s="1154" t="s">
        <v>1429</v>
      </c>
      <c r="K5" s="1154" t="s">
        <v>1430</v>
      </c>
      <c r="L5" s="1500"/>
      <c r="M5" s="1514"/>
    </row>
    <row r="6" spans="1:13" ht="19.5" customHeight="1">
      <c r="A6" s="1501" t="s">
        <v>1431</v>
      </c>
      <c r="B6" s="1504" t="s">
        <v>1432</v>
      </c>
      <c r="C6" s="1504" t="s">
        <v>1433</v>
      </c>
      <c r="D6" s="1156"/>
      <c r="E6" s="1155">
        <v>1</v>
      </c>
      <c r="F6" s="1155">
        <v>1</v>
      </c>
      <c r="G6" s="1155">
        <v>47</v>
      </c>
      <c r="H6" s="1157">
        <v>789000</v>
      </c>
      <c r="I6" s="1157">
        <v>35899000</v>
      </c>
      <c r="J6" s="1157">
        <f aca="true" t="shared" si="0" ref="J6:J11">QUOTIENT(K6,G6)</f>
        <v>5345276</v>
      </c>
      <c r="K6" s="1157">
        <v>251228000</v>
      </c>
      <c r="L6" s="1157">
        <f aca="true" t="shared" si="1" ref="L6:L11">+I6+K6</f>
        <v>287127000</v>
      </c>
      <c r="M6" s="1158"/>
    </row>
    <row r="7" spans="1:13" ht="19.5" customHeight="1">
      <c r="A7" s="1501"/>
      <c r="B7" s="1504"/>
      <c r="C7" s="1504"/>
      <c r="D7" s="1156"/>
      <c r="E7" s="1155">
        <v>1</v>
      </c>
      <c r="F7" s="1155">
        <v>2</v>
      </c>
      <c r="G7" s="1155">
        <v>51</v>
      </c>
      <c r="H7" s="1157"/>
      <c r="I7" s="1157"/>
      <c r="J7" s="1157">
        <f t="shared" si="0"/>
        <v>5233000</v>
      </c>
      <c r="K7" s="1157">
        <v>266883000</v>
      </c>
      <c r="L7" s="1157">
        <f t="shared" si="1"/>
        <v>266883000</v>
      </c>
      <c r="M7" s="1158"/>
    </row>
    <row r="8" spans="1:13" ht="19.5" customHeight="1">
      <c r="A8" s="1501"/>
      <c r="B8" s="1504"/>
      <c r="C8" s="1504" t="s">
        <v>1434</v>
      </c>
      <c r="D8" s="1156"/>
      <c r="E8" s="1155">
        <v>1</v>
      </c>
      <c r="F8" s="1155">
        <v>1</v>
      </c>
      <c r="G8" s="1155">
        <v>45</v>
      </c>
      <c r="H8" s="1157"/>
      <c r="I8" s="1157">
        <v>1578000</v>
      </c>
      <c r="J8" s="1157">
        <f t="shared" si="0"/>
        <v>5000422</v>
      </c>
      <c r="K8" s="1157">
        <v>225019000</v>
      </c>
      <c r="L8" s="1157">
        <f t="shared" si="1"/>
        <v>226597000</v>
      </c>
      <c r="M8" s="1158"/>
    </row>
    <row r="9" spans="1:13" ht="19.5" customHeight="1">
      <c r="A9" s="1501"/>
      <c r="B9" s="1504"/>
      <c r="C9" s="1504"/>
      <c r="D9" s="1156"/>
      <c r="E9" s="1155">
        <v>1</v>
      </c>
      <c r="F9" s="1155">
        <v>2</v>
      </c>
      <c r="G9" s="1155">
        <v>46</v>
      </c>
      <c r="H9" s="1157"/>
      <c r="I9" s="1157"/>
      <c r="J9" s="1157">
        <f t="shared" si="0"/>
        <v>5233000</v>
      </c>
      <c r="K9" s="1157">
        <v>240718000</v>
      </c>
      <c r="L9" s="1157">
        <f t="shared" si="1"/>
        <v>240718000</v>
      </c>
      <c r="M9" s="1158"/>
    </row>
    <row r="10" spans="1:13" ht="19.5" customHeight="1">
      <c r="A10" s="1501"/>
      <c r="B10" s="1504"/>
      <c r="C10" s="1504"/>
      <c r="D10" s="1156"/>
      <c r="E10" s="1155">
        <v>1</v>
      </c>
      <c r="F10" s="1155">
        <v>3</v>
      </c>
      <c r="G10" s="1155">
        <v>44</v>
      </c>
      <c r="H10" s="1157"/>
      <c r="I10" s="1157"/>
      <c r="J10" s="1157">
        <f t="shared" si="0"/>
        <v>5135000</v>
      </c>
      <c r="K10" s="1157">
        <v>225940000</v>
      </c>
      <c r="L10" s="1157">
        <f t="shared" si="1"/>
        <v>225940000</v>
      </c>
      <c r="M10" s="1158"/>
    </row>
    <row r="11" spans="1:13" ht="19.5" customHeight="1">
      <c r="A11" s="1501"/>
      <c r="B11" s="1504"/>
      <c r="C11" s="1504"/>
      <c r="D11" s="1156"/>
      <c r="E11" s="1155">
        <v>1</v>
      </c>
      <c r="F11" s="1155">
        <v>4</v>
      </c>
      <c r="G11" s="1155">
        <v>49</v>
      </c>
      <c r="H11" s="1157"/>
      <c r="I11" s="1157"/>
      <c r="J11" s="1157">
        <f t="shared" si="0"/>
        <v>5040000</v>
      </c>
      <c r="K11" s="1157">
        <v>246960000</v>
      </c>
      <c r="L11" s="1157">
        <f t="shared" si="1"/>
        <v>246960000</v>
      </c>
      <c r="M11" s="1158"/>
    </row>
    <row r="12" spans="1:14" ht="19.5" customHeight="1">
      <c r="A12" s="1501"/>
      <c r="B12" s="1504"/>
      <c r="C12" s="1155" t="s">
        <v>1435</v>
      </c>
      <c r="D12" s="1156"/>
      <c r="E12" s="1155"/>
      <c r="F12" s="1155"/>
      <c r="G12" s="1155">
        <f>SUM(G6:G11)</f>
        <v>282</v>
      </c>
      <c r="H12" s="1155"/>
      <c r="I12" s="1159">
        <f>SUM(I6:I11)</f>
        <v>37477000</v>
      </c>
      <c r="J12" s="1159"/>
      <c r="K12" s="1159">
        <f>SUM(K6:K11)</f>
        <v>1456748000</v>
      </c>
      <c r="L12" s="1159">
        <f>SUM(L6:L11)</f>
        <v>1494225000</v>
      </c>
      <c r="M12" s="1158"/>
      <c r="N12" s="941"/>
    </row>
    <row r="13" spans="1:13" ht="19.5" customHeight="1">
      <c r="A13" s="1501"/>
      <c r="B13" s="1505" t="s">
        <v>1436</v>
      </c>
      <c r="C13" s="1504" t="s">
        <v>1437</v>
      </c>
      <c r="D13" s="1156"/>
      <c r="E13" s="1155">
        <v>1</v>
      </c>
      <c r="F13" s="1155">
        <v>1</v>
      </c>
      <c r="G13" s="1155">
        <v>0</v>
      </c>
      <c r="H13" s="1157"/>
      <c r="I13" s="1157"/>
      <c r="J13" s="1157"/>
      <c r="K13" s="1157">
        <v>0</v>
      </c>
      <c r="L13" s="1157">
        <f>+K13+I13</f>
        <v>0</v>
      </c>
      <c r="M13" s="1158"/>
    </row>
    <row r="14" spans="1:13" ht="19.5" customHeight="1">
      <c r="A14" s="1501"/>
      <c r="B14" s="1506"/>
      <c r="C14" s="1504"/>
      <c r="D14" s="1156"/>
      <c r="E14" s="1155">
        <v>1</v>
      </c>
      <c r="F14" s="1155">
        <v>2</v>
      </c>
      <c r="G14" s="1155">
        <v>0</v>
      </c>
      <c r="H14" s="1157"/>
      <c r="I14" s="1157"/>
      <c r="J14" s="1157"/>
      <c r="K14" s="1157">
        <v>0</v>
      </c>
      <c r="L14" s="1157">
        <f>+K14+I14</f>
        <v>0</v>
      </c>
      <c r="M14" s="1158"/>
    </row>
    <row r="15" spans="1:13" ht="19.5" customHeight="1">
      <c r="A15" s="1501"/>
      <c r="B15" s="1506"/>
      <c r="C15" s="1504"/>
      <c r="D15" s="1156"/>
      <c r="E15" s="1155">
        <v>1</v>
      </c>
      <c r="F15" s="1155">
        <v>3</v>
      </c>
      <c r="G15" s="1155">
        <v>0</v>
      </c>
      <c r="H15" s="1157"/>
      <c r="I15" s="1157"/>
      <c r="J15" s="1157"/>
      <c r="K15" s="1157"/>
      <c r="L15" s="1157">
        <f>+K15+I15</f>
        <v>0</v>
      </c>
      <c r="M15" s="1158"/>
    </row>
    <row r="16" spans="1:13" ht="19.5" customHeight="1">
      <c r="A16" s="1501"/>
      <c r="B16" s="1506"/>
      <c r="C16" s="1504"/>
      <c r="D16" s="1156"/>
      <c r="E16" s="1155">
        <v>1</v>
      </c>
      <c r="F16" s="1155">
        <v>4</v>
      </c>
      <c r="G16" s="1155">
        <v>0</v>
      </c>
      <c r="H16" s="1157"/>
      <c r="I16" s="1157"/>
      <c r="J16" s="1157">
        <v>0</v>
      </c>
      <c r="K16" s="1157">
        <v>0</v>
      </c>
      <c r="L16" s="1157">
        <v>0</v>
      </c>
      <c r="M16" s="1158"/>
    </row>
    <row r="17" spans="1:13" ht="19.5" customHeight="1">
      <c r="A17" s="1501"/>
      <c r="B17" s="1507"/>
      <c r="C17" s="1155" t="s">
        <v>1435</v>
      </c>
      <c r="D17" s="1156"/>
      <c r="E17" s="1155"/>
      <c r="F17" s="1155"/>
      <c r="G17" s="1155">
        <f>SUM(G13:G16)</f>
        <v>0</v>
      </c>
      <c r="H17" s="1155"/>
      <c r="I17" s="1159">
        <f>SUM(I13:I16)</f>
        <v>0</v>
      </c>
      <c r="J17" s="1159"/>
      <c r="K17" s="1159">
        <f>SUM(K13:K16)</f>
        <v>0</v>
      </c>
      <c r="L17" s="1159">
        <f>SUM(L13:L16)</f>
        <v>0</v>
      </c>
      <c r="M17" s="1161"/>
    </row>
    <row r="18" spans="1:13" ht="19.5" customHeight="1">
      <c r="A18" s="1501"/>
      <c r="B18" s="1505" t="s">
        <v>1438</v>
      </c>
      <c r="C18" s="1500" t="s">
        <v>1439</v>
      </c>
      <c r="D18" s="1156"/>
      <c r="E18" s="1155">
        <v>1</v>
      </c>
      <c r="F18" s="1155">
        <v>1</v>
      </c>
      <c r="G18" s="1155">
        <v>39</v>
      </c>
      <c r="H18" s="1157">
        <v>789000</v>
      </c>
      <c r="I18" s="1157">
        <v>31560000</v>
      </c>
      <c r="J18" s="1157">
        <f aca="true" t="shared" si="2" ref="J18:J26">QUOTIENT(K18,G18)</f>
        <v>4302307</v>
      </c>
      <c r="K18" s="1157">
        <v>167790000</v>
      </c>
      <c r="L18" s="1157">
        <f>+K18+I18</f>
        <v>199350000</v>
      </c>
      <c r="M18" s="1158"/>
    </row>
    <row r="19" spans="1:13" ht="19.5" customHeight="1">
      <c r="A19" s="1501"/>
      <c r="B19" s="1506"/>
      <c r="C19" s="1500"/>
      <c r="D19" s="1156"/>
      <c r="E19" s="1155">
        <v>1</v>
      </c>
      <c r="F19" s="1155">
        <v>2</v>
      </c>
      <c r="G19" s="1155">
        <v>39</v>
      </c>
      <c r="H19" s="1157"/>
      <c r="I19" s="1157">
        <v>0</v>
      </c>
      <c r="J19" s="1157">
        <f t="shared" si="2"/>
        <v>4045538</v>
      </c>
      <c r="K19" s="1157">
        <v>157776000</v>
      </c>
      <c r="L19" s="1157">
        <f>+K19+I19</f>
        <v>157776000</v>
      </c>
      <c r="M19" s="1158"/>
    </row>
    <row r="20" spans="1:13" ht="19.5" customHeight="1">
      <c r="A20" s="1501"/>
      <c r="B20" s="1506"/>
      <c r="C20" s="1500"/>
      <c r="D20" s="1156"/>
      <c r="E20" s="1155">
        <v>1</v>
      </c>
      <c r="F20" s="1155">
        <v>3</v>
      </c>
      <c r="G20" s="1155">
        <v>46</v>
      </c>
      <c r="H20" s="1157"/>
      <c r="I20" s="1157">
        <v>1578000</v>
      </c>
      <c r="J20" s="1157">
        <f t="shared" si="2"/>
        <v>4061739</v>
      </c>
      <c r="K20" s="1157">
        <v>186840000</v>
      </c>
      <c r="L20" s="1157">
        <f>+K20+I20</f>
        <v>188418000</v>
      </c>
      <c r="M20" s="1158"/>
    </row>
    <row r="21" spans="1:13" ht="19.5" customHeight="1">
      <c r="A21" s="1501"/>
      <c r="B21" s="1506"/>
      <c r="C21" s="1500"/>
      <c r="D21" s="1156"/>
      <c r="E21" s="1155">
        <v>1</v>
      </c>
      <c r="F21" s="1155">
        <v>4</v>
      </c>
      <c r="G21" s="1155">
        <v>41</v>
      </c>
      <c r="H21" s="1157"/>
      <c r="I21" s="1157">
        <v>2367000</v>
      </c>
      <c r="J21" s="1157">
        <f t="shared" si="2"/>
        <v>4152000</v>
      </c>
      <c r="K21" s="1157">
        <v>170232000</v>
      </c>
      <c r="L21" s="1157">
        <f>+K21+I21</f>
        <v>172599000</v>
      </c>
      <c r="M21" s="1158"/>
    </row>
    <row r="22" spans="1:13" ht="19.5" customHeight="1">
      <c r="A22" s="1501"/>
      <c r="B22" s="1506"/>
      <c r="C22" s="1155" t="s">
        <v>1435</v>
      </c>
      <c r="D22" s="1156"/>
      <c r="E22" s="1155"/>
      <c r="F22" s="1155"/>
      <c r="G22" s="1155">
        <f>SUM(G18:G21)</f>
        <v>165</v>
      </c>
      <c r="H22" s="1155"/>
      <c r="I22" s="1159">
        <f>SUM(I18:I21)</f>
        <v>35505000</v>
      </c>
      <c r="J22" s="1159"/>
      <c r="K22" s="1159">
        <f>SUM(K18:K21)</f>
        <v>682638000</v>
      </c>
      <c r="L22" s="1159">
        <f>SUM(L18:L21)</f>
        <v>718143000</v>
      </c>
      <c r="M22" s="1161"/>
    </row>
    <row r="23" spans="1:13" ht="19.5" customHeight="1">
      <c r="A23" s="1501"/>
      <c r="B23" s="1506"/>
      <c r="C23" s="1505" t="s">
        <v>1440</v>
      </c>
      <c r="D23" s="1156"/>
      <c r="E23" s="1155">
        <v>1</v>
      </c>
      <c r="F23" s="1155">
        <v>1</v>
      </c>
      <c r="G23" s="1155">
        <v>75</v>
      </c>
      <c r="H23" s="1157">
        <v>789000</v>
      </c>
      <c r="I23" s="1157">
        <v>59569000</v>
      </c>
      <c r="J23" s="1157">
        <f t="shared" si="2"/>
        <v>4254040</v>
      </c>
      <c r="K23" s="1157">
        <v>319053000</v>
      </c>
      <c r="L23" s="1157">
        <f>+K23+I23</f>
        <v>378622000</v>
      </c>
      <c r="M23" s="1158"/>
    </row>
    <row r="24" spans="1:13" ht="19.5" customHeight="1">
      <c r="A24" s="1501"/>
      <c r="B24" s="1506"/>
      <c r="C24" s="1506"/>
      <c r="D24" s="1156"/>
      <c r="E24" s="1155">
        <v>1</v>
      </c>
      <c r="F24" s="1155">
        <v>2</v>
      </c>
      <c r="G24" s="1155">
        <v>65</v>
      </c>
      <c r="H24" s="1157"/>
      <c r="I24" s="1157">
        <v>0</v>
      </c>
      <c r="J24" s="1157">
        <f t="shared" si="2"/>
        <v>4152000</v>
      </c>
      <c r="K24" s="1157">
        <v>269880000</v>
      </c>
      <c r="L24" s="1157">
        <f>+K24+I24</f>
        <v>269880000</v>
      </c>
      <c r="M24" s="1158"/>
    </row>
    <row r="25" spans="1:13" ht="19.5" customHeight="1">
      <c r="A25" s="1501"/>
      <c r="B25" s="1506"/>
      <c r="C25" s="1506"/>
      <c r="D25" s="1156"/>
      <c r="E25" s="1155">
        <v>1</v>
      </c>
      <c r="F25" s="1155">
        <v>3</v>
      </c>
      <c r="G25" s="1155">
        <v>70</v>
      </c>
      <c r="H25" s="1157"/>
      <c r="I25" s="1157">
        <v>2367000</v>
      </c>
      <c r="J25" s="1157">
        <f t="shared" si="2"/>
        <v>4152000</v>
      </c>
      <c r="K25" s="1157">
        <v>290640000</v>
      </c>
      <c r="L25" s="1157">
        <f>+K25+I25</f>
        <v>293007000</v>
      </c>
      <c r="M25" s="1158"/>
    </row>
    <row r="26" spans="1:13" ht="19.5" customHeight="1">
      <c r="A26" s="1501"/>
      <c r="B26" s="1506"/>
      <c r="C26" s="1507"/>
      <c r="D26" s="1156"/>
      <c r="E26" s="1155">
        <v>1</v>
      </c>
      <c r="F26" s="1155">
        <v>4</v>
      </c>
      <c r="G26" s="1155">
        <v>102</v>
      </c>
      <c r="H26" s="1157"/>
      <c r="I26" s="1157">
        <v>18147000</v>
      </c>
      <c r="J26" s="1157">
        <f t="shared" si="2"/>
        <v>3992147</v>
      </c>
      <c r="K26" s="1157">
        <f>416584000-9385000</f>
        <v>407199000</v>
      </c>
      <c r="L26" s="1157">
        <f>+K26+I26</f>
        <v>425346000</v>
      </c>
      <c r="M26" s="1158"/>
    </row>
    <row r="27" spans="1:13" ht="19.5" customHeight="1">
      <c r="A27" s="1501"/>
      <c r="B27" s="1506"/>
      <c r="C27" s="1162"/>
      <c r="D27" s="1156"/>
      <c r="E27" s="1155"/>
      <c r="F27" s="1155"/>
      <c r="G27" s="1155"/>
      <c r="H27" s="1157"/>
      <c r="I27" s="1157"/>
      <c r="J27" s="1157"/>
      <c r="K27" s="1157"/>
      <c r="L27" s="1157"/>
      <c r="M27" s="1158"/>
    </row>
    <row r="28" spans="1:13" ht="19.5" customHeight="1">
      <c r="A28" s="1501"/>
      <c r="B28" s="1507"/>
      <c r="C28" s="1155" t="s">
        <v>1435</v>
      </c>
      <c r="D28" s="1156"/>
      <c r="E28" s="1155"/>
      <c r="F28" s="1155"/>
      <c r="G28" s="1155">
        <f>SUM(G23:G27)</f>
        <v>312</v>
      </c>
      <c r="H28" s="1155"/>
      <c r="I28" s="1159">
        <f>SUM(I23:I27)</f>
        <v>80083000</v>
      </c>
      <c r="J28" s="1159"/>
      <c r="K28" s="1159">
        <f>SUM(K23:K27)</f>
        <v>1286772000</v>
      </c>
      <c r="L28" s="1159">
        <f>SUM(L23:L27)</f>
        <v>1366855000</v>
      </c>
      <c r="M28" s="1158"/>
    </row>
    <row r="29" spans="1:14" ht="19.5" customHeight="1">
      <c r="A29" s="1501"/>
      <c r="B29" s="1508" t="s">
        <v>1441</v>
      </c>
      <c r="C29" s="1509"/>
      <c r="D29" s="1163"/>
      <c r="E29" s="1160"/>
      <c r="F29" s="1160"/>
      <c r="G29" s="1160">
        <v>0</v>
      </c>
      <c r="H29" s="1160"/>
      <c r="I29" s="1164"/>
      <c r="J29" s="1164"/>
      <c r="K29" s="1164">
        <v>0</v>
      </c>
      <c r="L29" s="1164">
        <v>0</v>
      </c>
      <c r="M29" s="1165"/>
      <c r="N29" s="941"/>
    </row>
    <row r="30" spans="1:13" ht="14.25">
      <c r="A30" s="1501"/>
      <c r="B30" s="1510" t="s">
        <v>1427</v>
      </c>
      <c r="C30" s="1510"/>
      <c r="D30" s="1167"/>
      <c r="E30" s="1166"/>
      <c r="F30" s="1166"/>
      <c r="G30" s="1166">
        <f>+G12+G17+G22+G28+G29</f>
        <v>759</v>
      </c>
      <c r="H30" s="1168"/>
      <c r="I30" s="1168">
        <f>+I12+I17+I22+I28</f>
        <v>153065000</v>
      </c>
      <c r="J30" s="1168"/>
      <c r="K30" s="1168">
        <f>+K12+K17+K22+K28+K29</f>
        <v>3426158000</v>
      </c>
      <c r="L30" s="1168">
        <f>+L12+L17+L22+L28</f>
        <v>3579223000</v>
      </c>
      <c r="M30" s="1169"/>
    </row>
    <row r="31" spans="1:13" ht="14.25">
      <c r="A31" s="1170"/>
      <c r="B31" s="1170"/>
      <c r="C31" s="1170"/>
      <c r="D31" s="1171"/>
      <c r="E31" s="1170"/>
      <c r="F31" s="1170"/>
      <c r="G31" s="1170"/>
      <c r="H31" s="1172"/>
      <c r="I31" s="1172"/>
      <c r="J31" s="1172"/>
      <c r="K31" s="1172"/>
      <c r="L31" s="1172"/>
      <c r="M31" s="1171"/>
    </row>
    <row r="32" spans="1:13" ht="22.5" customHeight="1">
      <c r="A32" s="1151"/>
      <c r="B32" s="1151"/>
      <c r="C32" s="1173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</row>
    <row r="33" spans="1:13" ht="14.25" customHeight="1">
      <c r="A33" s="1515" t="s">
        <v>1415</v>
      </c>
      <c r="B33" s="1515"/>
      <c r="C33" s="1515"/>
      <c r="D33" s="1515"/>
      <c r="E33" s="1515"/>
      <c r="F33" s="1515"/>
      <c r="G33" s="1515"/>
      <c r="H33" s="1515"/>
      <c r="I33" s="1515"/>
      <c r="J33" s="1515"/>
      <c r="K33" s="1515"/>
      <c r="L33" s="1515"/>
      <c r="M33" s="1515"/>
    </row>
    <row r="34" spans="1:13" ht="14.25">
      <c r="A34" s="1151" t="s">
        <v>1416</v>
      </c>
      <c r="B34" s="1151"/>
      <c r="C34" s="1173"/>
      <c r="D34" s="1151"/>
      <c r="E34" s="1151"/>
      <c r="F34" s="1151"/>
      <c r="G34" s="1151"/>
      <c r="H34" s="1151"/>
      <c r="I34" s="1151"/>
      <c r="J34" s="1151"/>
      <c r="K34" s="1151"/>
      <c r="L34" s="1516" t="s">
        <v>1417</v>
      </c>
      <c r="M34" s="1516"/>
    </row>
    <row r="35" spans="1:13" ht="19.5" customHeight="1">
      <c r="A35" s="1517" t="s">
        <v>1418</v>
      </c>
      <c r="B35" s="1499" t="s">
        <v>1419</v>
      </c>
      <c r="C35" s="1499" t="s">
        <v>1420</v>
      </c>
      <c r="D35" s="1499" t="s">
        <v>1421</v>
      </c>
      <c r="E35" s="1499" t="s">
        <v>1422</v>
      </c>
      <c r="F35" s="1499" t="s">
        <v>1423</v>
      </c>
      <c r="G35" s="1499" t="s">
        <v>1424</v>
      </c>
      <c r="H35" s="1499" t="s">
        <v>1425</v>
      </c>
      <c r="I35" s="1499"/>
      <c r="J35" s="1499" t="s">
        <v>1426</v>
      </c>
      <c r="K35" s="1499"/>
      <c r="L35" s="1499" t="s">
        <v>1427</v>
      </c>
      <c r="M35" s="1513" t="s">
        <v>1428</v>
      </c>
    </row>
    <row r="36" spans="1:13" ht="19.5" customHeight="1">
      <c r="A36" s="1518"/>
      <c r="B36" s="1500"/>
      <c r="C36" s="1500"/>
      <c r="D36" s="1500"/>
      <c r="E36" s="1500"/>
      <c r="F36" s="1500"/>
      <c r="G36" s="1500"/>
      <c r="H36" s="1154" t="s">
        <v>1429</v>
      </c>
      <c r="I36" s="1154" t="s">
        <v>1430</v>
      </c>
      <c r="J36" s="1154" t="s">
        <v>1429</v>
      </c>
      <c r="K36" s="1154" t="s">
        <v>1430</v>
      </c>
      <c r="L36" s="1500"/>
      <c r="M36" s="1514"/>
    </row>
    <row r="37" spans="1:13" ht="19.5" customHeight="1">
      <c r="A37" s="1501" t="s">
        <v>1442</v>
      </c>
      <c r="B37" s="1504" t="s">
        <v>1432</v>
      </c>
      <c r="C37" s="1504" t="s">
        <v>1433</v>
      </c>
      <c r="D37" s="1156"/>
      <c r="E37" s="1155">
        <v>2</v>
      </c>
      <c r="F37" s="1155">
        <v>1</v>
      </c>
      <c r="G37" s="1155">
        <v>50</v>
      </c>
      <c r="H37" s="1157"/>
      <c r="I37" s="1157">
        <v>0</v>
      </c>
      <c r="J37" s="1157">
        <f aca="true" t="shared" si="3" ref="J37:J42">QUOTIENT(K37,G37)</f>
        <v>5183220</v>
      </c>
      <c r="K37" s="1157">
        <v>259161000</v>
      </c>
      <c r="L37" s="1157">
        <f aca="true" t="shared" si="4" ref="L37:L42">+I37+K37</f>
        <v>259161000</v>
      </c>
      <c r="M37" s="1158"/>
    </row>
    <row r="38" spans="1:13" ht="19.5" customHeight="1">
      <c r="A38" s="1501"/>
      <c r="B38" s="1504"/>
      <c r="C38" s="1504"/>
      <c r="D38" s="1156"/>
      <c r="E38" s="1155">
        <v>2</v>
      </c>
      <c r="F38" s="1155">
        <v>2</v>
      </c>
      <c r="G38" s="1155">
        <v>54</v>
      </c>
      <c r="H38" s="1157"/>
      <c r="I38" s="1157">
        <v>0</v>
      </c>
      <c r="J38" s="1157">
        <f t="shared" si="3"/>
        <v>5233000</v>
      </c>
      <c r="K38" s="1157">
        <v>282582000</v>
      </c>
      <c r="L38" s="1157">
        <f t="shared" si="4"/>
        <v>282582000</v>
      </c>
      <c r="M38" s="1158"/>
    </row>
    <row r="39" spans="1:13" ht="19.5" customHeight="1">
      <c r="A39" s="1501"/>
      <c r="B39" s="1504"/>
      <c r="C39" s="1504" t="s">
        <v>1434</v>
      </c>
      <c r="D39" s="1156"/>
      <c r="E39" s="1155">
        <v>2</v>
      </c>
      <c r="F39" s="1155">
        <v>1</v>
      </c>
      <c r="G39" s="1155">
        <v>45</v>
      </c>
      <c r="H39" s="1157"/>
      <c r="I39" s="1157">
        <v>0</v>
      </c>
      <c r="J39" s="1157">
        <f t="shared" si="3"/>
        <v>5116711</v>
      </c>
      <c r="K39" s="1157">
        <v>230252000</v>
      </c>
      <c r="L39" s="1157">
        <f t="shared" si="4"/>
        <v>230252000</v>
      </c>
      <c r="M39" s="1158"/>
    </row>
    <row r="40" spans="1:13" ht="19.5" customHeight="1">
      <c r="A40" s="1501"/>
      <c r="B40" s="1504"/>
      <c r="C40" s="1504"/>
      <c r="D40" s="1156"/>
      <c r="E40" s="1155">
        <v>2</v>
      </c>
      <c r="F40" s="1155">
        <v>2</v>
      </c>
      <c r="G40" s="1155">
        <v>46</v>
      </c>
      <c r="H40" s="1157"/>
      <c r="I40" s="1157">
        <v>0</v>
      </c>
      <c r="J40" s="1157">
        <f t="shared" si="3"/>
        <v>5233000</v>
      </c>
      <c r="K40" s="1157">
        <v>240718000</v>
      </c>
      <c r="L40" s="1157">
        <f t="shared" si="4"/>
        <v>240718000</v>
      </c>
      <c r="M40" s="1158"/>
    </row>
    <row r="41" spans="1:13" ht="19.5" customHeight="1">
      <c r="A41" s="1501"/>
      <c r="B41" s="1504"/>
      <c r="C41" s="1504"/>
      <c r="D41" s="1156"/>
      <c r="E41" s="1155">
        <v>2</v>
      </c>
      <c r="F41" s="1155">
        <v>3</v>
      </c>
      <c r="G41" s="1155">
        <v>44</v>
      </c>
      <c r="H41" s="1157"/>
      <c r="I41" s="1157">
        <v>0</v>
      </c>
      <c r="J41" s="1157">
        <f t="shared" si="3"/>
        <v>5135000</v>
      </c>
      <c r="K41" s="1157">
        <v>225940000</v>
      </c>
      <c r="L41" s="1157">
        <f t="shared" si="4"/>
        <v>225940000</v>
      </c>
      <c r="M41" s="1158"/>
    </row>
    <row r="42" spans="1:13" ht="19.5" customHeight="1">
      <c r="A42" s="1501"/>
      <c r="B42" s="1504"/>
      <c r="C42" s="1504"/>
      <c r="D42" s="1156"/>
      <c r="E42" s="1155">
        <v>2</v>
      </c>
      <c r="F42" s="1155">
        <v>4</v>
      </c>
      <c r="G42" s="1155">
        <v>49</v>
      </c>
      <c r="H42" s="1157"/>
      <c r="I42" s="1157">
        <v>0</v>
      </c>
      <c r="J42" s="1157">
        <f t="shared" si="3"/>
        <v>5040000</v>
      </c>
      <c r="K42" s="1157">
        <v>246960000</v>
      </c>
      <c r="L42" s="1157">
        <f t="shared" si="4"/>
        <v>246960000</v>
      </c>
      <c r="M42" s="1158"/>
    </row>
    <row r="43" spans="1:13" ht="19.5" customHeight="1">
      <c r="A43" s="1501"/>
      <c r="B43" s="1504"/>
      <c r="C43" s="1155" t="s">
        <v>1435</v>
      </c>
      <c r="D43" s="1156"/>
      <c r="E43" s="1155"/>
      <c r="F43" s="1155"/>
      <c r="G43" s="1155">
        <f>SUM(G37:G42)</f>
        <v>288</v>
      </c>
      <c r="H43" s="1155"/>
      <c r="I43" s="1159">
        <v>0</v>
      </c>
      <c r="J43" s="1159"/>
      <c r="K43" s="1159">
        <f>SUM(K37:K42)</f>
        <v>1485613000</v>
      </c>
      <c r="L43" s="1159">
        <f>SUM(L37:L42)</f>
        <v>1485613000</v>
      </c>
      <c r="M43" s="1158"/>
    </row>
    <row r="44" spans="1:13" ht="19.5" customHeight="1">
      <c r="A44" s="1501"/>
      <c r="B44" s="1505" t="s">
        <v>1436</v>
      </c>
      <c r="C44" s="1504" t="s">
        <v>1437</v>
      </c>
      <c r="D44" s="1156"/>
      <c r="E44" s="1155">
        <v>2</v>
      </c>
      <c r="F44" s="1155">
        <v>1</v>
      </c>
      <c r="G44" s="1155">
        <v>0</v>
      </c>
      <c r="H44" s="1157">
        <v>0</v>
      </c>
      <c r="I44" s="1157">
        <v>0</v>
      </c>
      <c r="J44" s="1157"/>
      <c r="K44" s="1157">
        <v>0</v>
      </c>
      <c r="L44" s="1157">
        <f>+K44+I44</f>
        <v>0</v>
      </c>
      <c r="M44" s="1158"/>
    </row>
    <row r="45" spans="1:13" ht="19.5" customHeight="1">
      <c r="A45" s="1501"/>
      <c r="B45" s="1506"/>
      <c r="C45" s="1504"/>
      <c r="D45" s="1156"/>
      <c r="E45" s="1155">
        <v>2</v>
      </c>
      <c r="F45" s="1155">
        <v>2</v>
      </c>
      <c r="G45" s="1155">
        <v>0</v>
      </c>
      <c r="H45" s="1157"/>
      <c r="I45" s="1157">
        <v>0</v>
      </c>
      <c r="J45" s="1157"/>
      <c r="K45" s="1157">
        <v>0</v>
      </c>
      <c r="L45" s="1157">
        <f>+K45+I45</f>
        <v>0</v>
      </c>
      <c r="M45" s="1158"/>
    </row>
    <row r="46" spans="1:13" ht="19.5" customHeight="1">
      <c r="A46" s="1501"/>
      <c r="B46" s="1506"/>
      <c r="C46" s="1504"/>
      <c r="D46" s="1156"/>
      <c r="E46" s="1155">
        <v>2</v>
      </c>
      <c r="F46" s="1155">
        <v>3</v>
      </c>
      <c r="G46" s="1155">
        <v>0</v>
      </c>
      <c r="H46" s="1157"/>
      <c r="I46" s="1157">
        <v>0</v>
      </c>
      <c r="J46" s="1157"/>
      <c r="K46" s="1157"/>
      <c r="L46" s="1157">
        <f>+K46+I46</f>
        <v>0</v>
      </c>
      <c r="M46" s="1158"/>
    </row>
    <row r="47" spans="1:13" ht="19.5" customHeight="1">
      <c r="A47" s="1501"/>
      <c r="B47" s="1506"/>
      <c r="C47" s="1504"/>
      <c r="D47" s="1156"/>
      <c r="E47" s="1155">
        <v>2</v>
      </c>
      <c r="F47" s="1155">
        <v>4</v>
      </c>
      <c r="G47" s="1155">
        <v>0</v>
      </c>
      <c r="H47" s="1157"/>
      <c r="I47" s="1157">
        <v>0</v>
      </c>
      <c r="J47" s="1157">
        <v>0</v>
      </c>
      <c r="K47" s="1157">
        <v>0</v>
      </c>
      <c r="L47" s="1157">
        <v>0</v>
      </c>
      <c r="M47" s="1158"/>
    </row>
    <row r="48" spans="1:13" ht="19.5" customHeight="1">
      <c r="A48" s="1501"/>
      <c r="B48" s="1507"/>
      <c r="C48" s="1155" t="s">
        <v>1435</v>
      </c>
      <c r="D48" s="1156"/>
      <c r="E48" s="1155"/>
      <c r="F48" s="1155"/>
      <c r="G48" s="1155">
        <f>SUM(G44:G47)</f>
        <v>0</v>
      </c>
      <c r="H48" s="1155"/>
      <c r="I48" s="1159">
        <v>0</v>
      </c>
      <c r="J48" s="1159"/>
      <c r="K48" s="1159">
        <f>SUM(K44:K47)</f>
        <v>0</v>
      </c>
      <c r="L48" s="1159">
        <f>SUM(L44:L47)</f>
        <v>0</v>
      </c>
      <c r="M48" s="1161"/>
    </row>
    <row r="49" spans="1:13" ht="19.5" customHeight="1">
      <c r="A49" s="1501"/>
      <c r="B49" s="1505" t="s">
        <v>1438</v>
      </c>
      <c r="C49" s="1500" t="s">
        <v>1439</v>
      </c>
      <c r="D49" s="1156"/>
      <c r="E49" s="1155">
        <v>2</v>
      </c>
      <c r="F49" s="1155">
        <v>1</v>
      </c>
      <c r="G49" s="1155">
        <v>37</v>
      </c>
      <c r="H49" s="1157"/>
      <c r="I49" s="1157">
        <v>0</v>
      </c>
      <c r="J49" s="1157">
        <f aca="true" t="shared" si="5" ref="J49:J57">QUOTIENT(K49,G49)</f>
        <v>4230000</v>
      </c>
      <c r="K49" s="1157">
        <v>156510000</v>
      </c>
      <c r="L49" s="1157">
        <f>+K49+I49</f>
        <v>156510000</v>
      </c>
      <c r="M49" s="1158"/>
    </row>
    <row r="50" spans="1:13" ht="19.5" customHeight="1">
      <c r="A50" s="1501"/>
      <c r="B50" s="1506"/>
      <c r="C50" s="1500"/>
      <c r="D50" s="1156"/>
      <c r="E50" s="1155">
        <v>2</v>
      </c>
      <c r="F50" s="1155">
        <v>2</v>
      </c>
      <c r="G50" s="1155">
        <v>38</v>
      </c>
      <c r="H50" s="1157"/>
      <c r="I50" s="1157">
        <v>0</v>
      </c>
      <c r="J50" s="1157">
        <f t="shared" si="5"/>
        <v>4152000</v>
      </c>
      <c r="K50" s="1157">
        <v>157776000</v>
      </c>
      <c r="L50" s="1157">
        <f>+K50+I50</f>
        <v>157776000</v>
      </c>
      <c r="M50" s="1174"/>
    </row>
    <row r="51" spans="1:13" ht="19.5" customHeight="1">
      <c r="A51" s="1501"/>
      <c r="B51" s="1506"/>
      <c r="C51" s="1500"/>
      <c r="D51" s="1156"/>
      <c r="E51" s="1155">
        <v>2</v>
      </c>
      <c r="F51" s="1155">
        <v>3</v>
      </c>
      <c r="G51" s="1155">
        <v>46</v>
      </c>
      <c r="H51" s="1157"/>
      <c r="I51" s="1157">
        <v>0</v>
      </c>
      <c r="J51" s="1157">
        <f t="shared" si="5"/>
        <v>4152000</v>
      </c>
      <c r="K51" s="1157">
        <v>190992000</v>
      </c>
      <c r="L51" s="1157">
        <f>+K51+I51</f>
        <v>190992000</v>
      </c>
      <c r="M51" s="1174"/>
    </row>
    <row r="52" spans="1:13" ht="19.5" customHeight="1">
      <c r="A52" s="1501"/>
      <c r="B52" s="1506"/>
      <c r="C52" s="1500"/>
      <c r="D52" s="1156"/>
      <c r="E52" s="1155">
        <v>2</v>
      </c>
      <c r="F52" s="1155">
        <v>4</v>
      </c>
      <c r="G52" s="1155">
        <v>39</v>
      </c>
      <c r="H52" s="1157"/>
      <c r="I52" s="1157">
        <v>0</v>
      </c>
      <c r="J52" s="1157">
        <f t="shared" si="5"/>
        <v>4152000</v>
      </c>
      <c r="K52" s="1157">
        <v>161928000</v>
      </c>
      <c r="L52" s="1157">
        <f>+K52+I52</f>
        <v>161928000</v>
      </c>
      <c r="M52" s="1175"/>
    </row>
    <row r="53" spans="1:13" ht="19.5" customHeight="1">
      <c r="A53" s="1501"/>
      <c r="B53" s="1506"/>
      <c r="C53" s="1155" t="s">
        <v>1435</v>
      </c>
      <c r="D53" s="1156"/>
      <c r="E53" s="1155"/>
      <c r="F53" s="1155"/>
      <c r="G53" s="1155">
        <f>SUM(G49:G52)</f>
        <v>160</v>
      </c>
      <c r="H53" s="1155"/>
      <c r="I53" s="1159">
        <v>0</v>
      </c>
      <c r="J53" s="1159"/>
      <c r="K53" s="1159">
        <f>SUM(K49:K52)</f>
        <v>667206000</v>
      </c>
      <c r="L53" s="1159">
        <f>SUM(L49:L52)</f>
        <v>667206000</v>
      </c>
      <c r="M53" s="1161"/>
    </row>
    <row r="54" spans="1:13" ht="19.5" customHeight="1">
      <c r="A54" s="1501"/>
      <c r="B54" s="1506"/>
      <c r="C54" s="1505" t="s">
        <v>1440</v>
      </c>
      <c r="D54" s="1156"/>
      <c r="E54" s="1155">
        <v>2</v>
      </c>
      <c r="F54" s="1155">
        <v>1</v>
      </c>
      <c r="G54" s="1155">
        <v>73</v>
      </c>
      <c r="H54" s="1157"/>
      <c r="I54" s="1157">
        <v>0</v>
      </c>
      <c r="J54" s="1157">
        <f t="shared" si="5"/>
        <v>4230000</v>
      </c>
      <c r="K54" s="1157">
        <v>308790000</v>
      </c>
      <c r="L54" s="1157">
        <f>+K54+I54</f>
        <v>308790000</v>
      </c>
      <c r="M54" s="1158"/>
    </row>
    <row r="55" spans="1:13" ht="19.5" customHeight="1">
      <c r="A55" s="1501"/>
      <c r="B55" s="1506"/>
      <c r="C55" s="1506"/>
      <c r="D55" s="1156"/>
      <c r="E55" s="1155">
        <v>2</v>
      </c>
      <c r="F55" s="1155">
        <v>2</v>
      </c>
      <c r="G55" s="1155">
        <v>64</v>
      </c>
      <c r="H55" s="1157"/>
      <c r="I55" s="1157">
        <v>0</v>
      </c>
      <c r="J55" s="1157">
        <f t="shared" si="5"/>
        <v>4152000</v>
      </c>
      <c r="K55" s="1157">
        <v>265728000</v>
      </c>
      <c r="L55" s="1157">
        <f>+K55+I55</f>
        <v>265728000</v>
      </c>
      <c r="M55" s="1158"/>
    </row>
    <row r="56" spans="1:13" ht="19.5" customHeight="1">
      <c r="A56" s="1501"/>
      <c r="B56" s="1506"/>
      <c r="C56" s="1506"/>
      <c r="D56" s="1156"/>
      <c r="E56" s="1155">
        <v>2</v>
      </c>
      <c r="F56" s="1155">
        <v>3</v>
      </c>
      <c r="G56" s="1155">
        <v>68</v>
      </c>
      <c r="H56" s="1157"/>
      <c r="I56" s="1157">
        <v>0</v>
      </c>
      <c r="J56" s="1157">
        <f t="shared" si="5"/>
        <v>4188647</v>
      </c>
      <c r="K56" s="1157">
        <v>284828000</v>
      </c>
      <c r="L56" s="1157">
        <f>+K56+I56</f>
        <v>284828000</v>
      </c>
      <c r="M56" s="1158"/>
    </row>
    <row r="57" spans="1:13" ht="19.5" customHeight="1">
      <c r="A57" s="1501"/>
      <c r="B57" s="1506"/>
      <c r="C57" s="1507"/>
      <c r="D57" s="1156"/>
      <c r="E57" s="1155">
        <v>2</v>
      </c>
      <c r="F57" s="1155">
        <v>4</v>
      </c>
      <c r="G57" s="1155">
        <v>101</v>
      </c>
      <c r="H57" s="1157"/>
      <c r="I57" s="1157">
        <v>0</v>
      </c>
      <c r="J57" s="1157">
        <f t="shared" si="5"/>
        <v>4324809</v>
      </c>
      <c r="K57" s="1157">
        <f>420044000-8424000+25185770</f>
        <v>436805770</v>
      </c>
      <c r="L57" s="1157">
        <f>+K57+I57</f>
        <v>436805770</v>
      </c>
      <c r="M57" s="1158"/>
    </row>
    <row r="58" spans="1:13" ht="19.5" customHeight="1">
      <c r="A58" s="1501"/>
      <c r="B58" s="1506"/>
      <c r="C58" s="1162"/>
      <c r="D58" s="1156"/>
      <c r="E58" s="1155"/>
      <c r="F58" s="1155"/>
      <c r="G58" s="1155"/>
      <c r="H58" s="1157"/>
      <c r="I58" s="1157"/>
      <c r="J58" s="1157"/>
      <c r="K58" s="1157"/>
      <c r="L58" s="1157"/>
      <c r="M58" s="1158"/>
    </row>
    <row r="59" spans="1:13" ht="20.25" customHeight="1">
      <c r="A59" s="1501"/>
      <c r="B59" s="1507"/>
      <c r="C59" s="1155" t="s">
        <v>1435</v>
      </c>
      <c r="D59" s="1156"/>
      <c r="E59" s="1155"/>
      <c r="F59" s="1155"/>
      <c r="G59" s="1155">
        <f>SUM(G54:G58)</f>
        <v>306</v>
      </c>
      <c r="H59" s="1155"/>
      <c r="I59" s="1159">
        <f>SUM(I54:I58)</f>
        <v>0</v>
      </c>
      <c r="J59" s="1159"/>
      <c r="K59" s="1159">
        <f>SUM(K54:K58)</f>
        <v>1296151770</v>
      </c>
      <c r="L59" s="1159">
        <f>SUM(L54:L58)</f>
        <v>1296151770</v>
      </c>
      <c r="M59" s="1158"/>
    </row>
    <row r="60" spans="1:13" ht="14.25">
      <c r="A60" s="1502"/>
      <c r="B60" s="1508" t="s">
        <v>1441</v>
      </c>
      <c r="C60" s="1509"/>
      <c r="D60" s="1163"/>
      <c r="E60" s="1160"/>
      <c r="F60" s="1160"/>
      <c r="G60" s="1160">
        <v>0</v>
      </c>
      <c r="H60" s="1160"/>
      <c r="I60" s="1164"/>
      <c r="J60" s="1164"/>
      <c r="K60" s="1164">
        <v>0</v>
      </c>
      <c r="L60" s="1164">
        <f>SUM(K60)</f>
        <v>0</v>
      </c>
      <c r="M60" s="1165"/>
    </row>
    <row r="61" spans="1:13" ht="14.25">
      <c r="A61" s="1503"/>
      <c r="B61" s="1510" t="s">
        <v>1427</v>
      </c>
      <c r="C61" s="1510"/>
      <c r="D61" s="1167"/>
      <c r="E61" s="1166"/>
      <c r="F61" s="1166"/>
      <c r="G61" s="1166">
        <f>+G43+G48+G53+G59</f>
        <v>754</v>
      </c>
      <c r="H61" s="1168"/>
      <c r="I61" s="1168">
        <f>+I43+I48+I53+I59</f>
        <v>0</v>
      </c>
      <c r="J61" s="1168"/>
      <c r="K61" s="1168">
        <f>+K43+K48+K53+K59+K60</f>
        <v>3448970770</v>
      </c>
      <c r="L61" s="1168">
        <f>+L43+L48+L53+L59</f>
        <v>3448970770</v>
      </c>
      <c r="M61" s="1169"/>
    </row>
    <row r="62" spans="1:13" ht="14.25">
      <c r="A62" s="1176"/>
      <c r="B62" s="1511" t="s">
        <v>1443</v>
      </c>
      <c r="C62" s="1512"/>
      <c r="D62" s="1177"/>
      <c r="E62" s="1177"/>
      <c r="F62" s="1177"/>
      <c r="G62" s="1178">
        <f>SUM(G30,G61)</f>
        <v>1513</v>
      </c>
      <c r="H62" s="1177"/>
      <c r="I62" s="1179">
        <f>SUM(I30,I61)</f>
        <v>153065000</v>
      </c>
      <c r="J62" s="1177"/>
      <c r="K62" s="1179">
        <f>SUM(K30,K61)</f>
        <v>6875128770</v>
      </c>
      <c r="L62" s="1179">
        <f>SUM(L30,L61)</f>
        <v>7028193770</v>
      </c>
      <c r="M62" s="1180"/>
    </row>
    <row r="63" ht="14.25">
      <c r="K63" s="1181"/>
    </row>
  </sheetData>
  <sheetProtection/>
  <mergeCells count="49">
    <mergeCell ref="H4:I4"/>
    <mergeCell ref="L4:L5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C18:C21"/>
    <mergeCell ref="C23:C26"/>
    <mergeCell ref="B29:C29"/>
    <mergeCell ref="M4:M5"/>
    <mergeCell ref="B6:B12"/>
    <mergeCell ref="C6:C7"/>
    <mergeCell ref="C8:C11"/>
    <mergeCell ref="B13:B17"/>
    <mergeCell ref="C13:C16"/>
    <mergeCell ref="J4:K4"/>
    <mergeCell ref="A6:A30"/>
    <mergeCell ref="B30:C30"/>
    <mergeCell ref="A33:M33"/>
    <mergeCell ref="H35:I35"/>
    <mergeCell ref="J35:K35"/>
    <mergeCell ref="L34:M34"/>
    <mergeCell ref="A35:A36"/>
    <mergeCell ref="B35:B36"/>
    <mergeCell ref="B18:B28"/>
    <mergeCell ref="E35:E36"/>
    <mergeCell ref="B62:C62"/>
    <mergeCell ref="M35:M36"/>
    <mergeCell ref="L35:L36"/>
    <mergeCell ref="B49:B59"/>
    <mergeCell ref="C49:C52"/>
    <mergeCell ref="C54:C57"/>
    <mergeCell ref="F35:F36"/>
    <mergeCell ref="G35:G36"/>
    <mergeCell ref="D35:D36"/>
    <mergeCell ref="C35:C36"/>
    <mergeCell ref="A37:A61"/>
    <mergeCell ref="B37:B43"/>
    <mergeCell ref="C37:C38"/>
    <mergeCell ref="C39:C42"/>
    <mergeCell ref="B44:B48"/>
    <mergeCell ref="C44:C47"/>
    <mergeCell ref="B60:C60"/>
    <mergeCell ref="B61:C61"/>
  </mergeCells>
  <printOptions horizontalCentered="1"/>
  <pageMargins left="0.39" right="0.17" top="0.43" bottom="0.38" header="0.35433070866141736" footer="0.1968503937007874"/>
  <pageSetup horizontalDpi="600" verticalDpi="600" orientation="landscape" paperSize="9" scale="90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"/>
  <sheetViews>
    <sheetView showGridLines="0" zoomScalePageLayoutView="0" workbookViewId="0" topLeftCell="A1">
      <pane xSplit="3" ySplit="6" topLeftCell="D7" activePane="bottomRight" state="frozen"/>
      <selection pane="topLeft" activeCell="B17" sqref="B17:K17"/>
      <selection pane="topRight" activeCell="B17" sqref="B17:K17"/>
      <selection pane="bottomLeft" activeCell="B17" sqref="B17:K17"/>
      <selection pane="bottomRight" activeCell="D7" sqref="D7"/>
    </sheetView>
  </sheetViews>
  <sheetFormatPr defaultColWidth="6.77734375" defaultRowHeight="13.5"/>
  <cols>
    <col min="1" max="1" width="7.10546875" style="367" customWidth="1"/>
    <col min="2" max="2" width="8.10546875" style="367" customWidth="1"/>
    <col min="3" max="3" width="7.10546875" style="367" bestFit="1" customWidth="1"/>
    <col min="4" max="4" width="4.21484375" style="367" bestFit="1" customWidth="1"/>
    <col min="5" max="5" width="4.88671875" style="367" bestFit="1" customWidth="1"/>
    <col min="6" max="6" width="4.3359375" style="367" bestFit="1" customWidth="1"/>
    <col min="7" max="7" width="6.77734375" style="367" bestFit="1" customWidth="1"/>
    <col min="8" max="8" width="9.6640625" style="367" bestFit="1" customWidth="1"/>
    <col min="9" max="9" width="13.10546875" style="367" bestFit="1" customWidth="1"/>
    <col min="10" max="10" width="10.99609375" style="367" bestFit="1" customWidth="1"/>
    <col min="11" max="12" width="15.88671875" style="367" bestFit="1" customWidth="1"/>
    <col min="13" max="13" width="12.3359375" style="367" bestFit="1" customWidth="1"/>
    <col min="14" max="16384" width="6.77734375" style="367" customWidth="1"/>
  </cols>
  <sheetData>
    <row r="1" ht="14.25">
      <c r="A1" s="45" t="s">
        <v>1071</v>
      </c>
    </row>
    <row r="2" spans="1:13" ht="48.75" customHeight="1">
      <c r="A2" s="900" t="s">
        <v>1072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30" customHeigh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21" customHeight="1">
      <c r="A4" s="74" t="s">
        <v>1073</v>
      </c>
      <c r="L4" s="1525" t="s">
        <v>1074</v>
      </c>
      <c r="M4" s="1525"/>
    </row>
    <row r="5" spans="1:13" s="45" customFormat="1" ht="25.5" customHeight="1">
      <c r="A5" s="1520" t="s">
        <v>1389</v>
      </c>
      <c r="B5" s="1520" t="s">
        <v>1390</v>
      </c>
      <c r="C5" s="1520" t="s">
        <v>1391</v>
      </c>
      <c r="D5" s="1520" t="s">
        <v>1392</v>
      </c>
      <c r="E5" s="1520" t="s">
        <v>1393</v>
      </c>
      <c r="F5" s="1520" t="s">
        <v>1394</v>
      </c>
      <c r="G5" s="1520" t="s">
        <v>1395</v>
      </c>
      <c r="H5" s="1520" t="s">
        <v>1396</v>
      </c>
      <c r="I5" s="1520"/>
      <c r="J5" s="1520" t="s">
        <v>1397</v>
      </c>
      <c r="K5" s="1520"/>
      <c r="L5" s="1520" t="s">
        <v>1398</v>
      </c>
      <c r="M5" s="1520" t="s">
        <v>1399</v>
      </c>
    </row>
    <row r="6" spans="1:13" s="45" customFormat="1" ht="27">
      <c r="A6" s="1520"/>
      <c r="B6" s="1520"/>
      <c r="C6" s="1520"/>
      <c r="D6" s="1520"/>
      <c r="E6" s="1520"/>
      <c r="F6" s="1520"/>
      <c r="G6" s="1520"/>
      <c r="H6" s="365" t="s">
        <v>1400</v>
      </c>
      <c r="I6" s="365" t="s">
        <v>1401</v>
      </c>
      <c r="J6" s="365" t="s">
        <v>1400</v>
      </c>
      <c r="K6" s="365" t="s">
        <v>1401</v>
      </c>
      <c r="L6" s="1520"/>
      <c r="M6" s="1520"/>
    </row>
    <row r="7" spans="1:13" s="45" customFormat="1" ht="25.5" customHeight="1">
      <c r="A7" s="369" t="s">
        <v>1402</v>
      </c>
      <c r="B7" s="369" t="s">
        <v>1403</v>
      </c>
      <c r="C7" s="369" t="s">
        <v>1404</v>
      </c>
      <c r="D7" s="369"/>
      <c r="E7" s="369" t="s">
        <v>1405</v>
      </c>
      <c r="F7" s="370">
        <v>1</v>
      </c>
      <c r="G7" s="370">
        <f>210-6</f>
        <v>204</v>
      </c>
      <c r="H7" s="901">
        <v>789000</v>
      </c>
      <c r="I7" s="901">
        <v>165690000</v>
      </c>
      <c r="J7" s="901">
        <f aca="true" t="shared" si="0" ref="J7:J26">SUM(K7/G7)</f>
        <v>3993181.3725490198</v>
      </c>
      <c r="K7" s="901">
        <f>831362000-16753000</f>
        <v>814609000</v>
      </c>
      <c r="L7" s="901">
        <f aca="true" t="shared" si="1" ref="L7:L26">SUM(I7+K7)</f>
        <v>980299000</v>
      </c>
      <c r="M7" s="902"/>
    </row>
    <row r="8" spans="1:13" s="45" customFormat="1" ht="25.5" customHeight="1">
      <c r="A8" s="371"/>
      <c r="B8" s="371"/>
      <c r="C8" s="371" t="s">
        <v>1404</v>
      </c>
      <c r="D8" s="371"/>
      <c r="E8" s="371"/>
      <c r="F8" s="370">
        <v>2</v>
      </c>
      <c r="G8" s="370">
        <v>225</v>
      </c>
      <c r="H8" s="901"/>
      <c r="I8" s="901">
        <v>0</v>
      </c>
      <c r="J8" s="901">
        <f t="shared" si="0"/>
        <v>3765266.6666666665</v>
      </c>
      <c r="K8" s="901">
        <v>847185000</v>
      </c>
      <c r="L8" s="901">
        <f t="shared" si="1"/>
        <v>847185000</v>
      </c>
      <c r="M8" s="902"/>
    </row>
    <row r="9" spans="1:13" s="45" customFormat="1" ht="25.5" customHeight="1">
      <c r="A9" s="371"/>
      <c r="B9" s="371"/>
      <c r="C9" s="371" t="s">
        <v>1404</v>
      </c>
      <c r="D9" s="371"/>
      <c r="E9" s="371"/>
      <c r="F9" s="370">
        <v>3</v>
      </c>
      <c r="G9" s="370">
        <v>235</v>
      </c>
      <c r="H9" s="901"/>
      <c r="I9" s="901">
        <v>25248000</v>
      </c>
      <c r="J9" s="901">
        <f t="shared" si="0"/>
        <v>3771297.8723404254</v>
      </c>
      <c r="K9" s="901">
        <v>886255000</v>
      </c>
      <c r="L9" s="901">
        <f t="shared" si="1"/>
        <v>911503000</v>
      </c>
      <c r="M9" s="902"/>
    </row>
    <row r="10" spans="1:13" s="45" customFormat="1" ht="25.5" customHeight="1">
      <c r="A10" s="371"/>
      <c r="B10" s="371"/>
      <c r="C10" s="371" t="s">
        <v>1404</v>
      </c>
      <c r="D10" s="371"/>
      <c r="E10" s="371"/>
      <c r="F10" s="370">
        <v>4</v>
      </c>
      <c r="G10" s="370">
        <v>200</v>
      </c>
      <c r="H10" s="901"/>
      <c r="I10" s="901">
        <v>3156000</v>
      </c>
      <c r="J10" s="901">
        <f t="shared" si="0"/>
        <v>3651240</v>
      </c>
      <c r="K10" s="901">
        <v>730248000</v>
      </c>
      <c r="L10" s="901">
        <f t="shared" si="1"/>
        <v>733404000</v>
      </c>
      <c r="M10" s="902"/>
    </row>
    <row r="11" spans="1:13" s="45" customFormat="1" ht="25.5" customHeight="1">
      <c r="A11" s="371"/>
      <c r="B11" s="371"/>
      <c r="C11" s="371"/>
      <c r="D11" s="371"/>
      <c r="E11" s="366" t="s">
        <v>1406</v>
      </c>
      <c r="F11" s="370"/>
      <c r="G11" s="370">
        <f>SUM(G7:G10)</f>
        <v>864</v>
      </c>
      <c r="H11" s="901">
        <v>789000</v>
      </c>
      <c r="I11" s="901">
        <f>SUM(I7:I10)</f>
        <v>194094000</v>
      </c>
      <c r="J11" s="901">
        <f t="shared" si="0"/>
        <v>3794325.2314814813</v>
      </c>
      <c r="K11" s="901">
        <f>SUM(K7:K10)</f>
        <v>3278297000</v>
      </c>
      <c r="L11" s="901">
        <f t="shared" si="1"/>
        <v>3472391000</v>
      </c>
      <c r="M11" s="902"/>
    </row>
    <row r="12" spans="1:13" s="45" customFormat="1" ht="25.5" customHeight="1">
      <c r="A12" s="371"/>
      <c r="B12" s="371"/>
      <c r="C12" s="371" t="s">
        <v>1404</v>
      </c>
      <c r="D12" s="371"/>
      <c r="E12" s="369" t="s">
        <v>1407</v>
      </c>
      <c r="F12" s="370">
        <v>1</v>
      </c>
      <c r="G12" s="370">
        <f>189-2</f>
        <v>187</v>
      </c>
      <c r="H12" s="901">
        <v>789000</v>
      </c>
      <c r="I12" s="901"/>
      <c r="J12" s="901">
        <f t="shared" si="0"/>
        <v>3977751.336898396</v>
      </c>
      <c r="K12" s="901">
        <f>746275000-2435500</f>
        <v>743839500</v>
      </c>
      <c r="L12" s="901">
        <f t="shared" si="1"/>
        <v>743839500</v>
      </c>
      <c r="M12" s="902"/>
    </row>
    <row r="13" spans="1:13" s="45" customFormat="1" ht="25.5" customHeight="1">
      <c r="A13" s="371"/>
      <c r="B13" s="371"/>
      <c r="C13" s="371" t="s">
        <v>1404</v>
      </c>
      <c r="D13" s="371"/>
      <c r="E13" s="371"/>
      <c r="F13" s="370">
        <v>2</v>
      </c>
      <c r="G13" s="370">
        <f>199-1</f>
        <v>198</v>
      </c>
      <c r="H13" s="901"/>
      <c r="I13" s="901"/>
      <c r="J13" s="901">
        <f t="shared" si="0"/>
        <v>3868611.111111111</v>
      </c>
      <c r="K13" s="901">
        <f>768477000-2492000</f>
        <v>765985000</v>
      </c>
      <c r="L13" s="901">
        <f t="shared" si="1"/>
        <v>765985000</v>
      </c>
      <c r="M13" s="902"/>
    </row>
    <row r="14" spans="1:13" s="45" customFormat="1" ht="25.5" customHeight="1">
      <c r="A14" s="371"/>
      <c r="B14" s="371"/>
      <c r="C14" s="371" t="s">
        <v>1404</v>
      </c>
      <c r="D14" s="371"/>
      <c r="E14" s="371"/>
      <c r="F14" s="370">
        <v>3</v>
      </c>
      <c r="G14" s="370">
        <f>230-1</f>
        <v>229</v>
      </c>
      <c r="H14" s="901"/>
      <c r="I14" s="901"/>
      <c r="J14" s="901">
        <f t="shared" si="0"/>
        <v>3861008.733624454</v>
      </c>
      <c r="K14" s="901">
        <f>885417000-1246000</f>
        <v>884171000</v>
      </c>
      <c r="L14" s="901">
        <f t="shared" si="1"/>
        <v>884171000</v>
      </c>
      <c r="M14" s="902"/>
    </row>
    <row r="15" spans="1:13" s="45" customFormat="1" ht="25.5" customHeight="1">
      <c r="A15" s="371"/>
      <c r="B15" s="371"/>
      <c r="C15" s="371" t="s">
        <v>1404</v>
      </c>
      <c r="D15" s="371"/>
      <c r="E15" s="371"/>
      <c r="F15" s="370">
        <v>4</v>
      </c>
      <c r="G15" s="370">
        <v>190</v>
      </c>
      <c r="H15" s="901"/>
      <c r="I15" s="901"/>
      <c r="J15" s="901">
        <f t="shared" si="0"/>
        <v>3736015.789473684</v>
      </c>
      <c r="K15" s="901">
        <v>709843000</v>
      </c>
      <c r="L15" s="901">
        <f t="shared" si="1"/>
        <v>709843000</v>
      </c>
      <c r="M15" s="902"/>
    </row>
    <row r="16" spans="1:13" s="45" customFormat="1" ht="25.5" customHeight="1">
      <c r="A16" s="372"/>
      <c r="B16" s="372" t="s">
        <v>1408</v>
      </c>
      <c r="C16" s="372"/>
      <c r="D16" s="372"/>
      <c r="E16" s="366" t="s">
        <v>1406</v>
      </c>
      <c r="F16" s="370"/>
      <c r="G16" s="370">
        <f>SUM(G12:G15)</f>
        <v>804</v>
      </c>
      <c r="H16" s="901"/>
      <c r="I16" s="901">
        <f>SUM(I12:I15)</f>
        <v>0</v>
      </c>
      <c r="J16" s="903">
        <f t="shared" si="0"/>
        <v>3860495.646766169</v>
      </c>
      <c r="K16" s="901">
        <f>SUM(K12:K15)</f>
        <v>3103838500</v>
      </c>
      <c r="L16" s="901">
        <f t="shared" si="1"/>
        <v>3103838500</v>
      </c>
      <c r="M16" s="902"/>
    </row>
    <row r="17" spans="1:13" s="45" customFormat="1" ht="25.5" customHeight="1">
      <c r="A17" s="371" t="s">
        <v>1402</v>
      </c>
      <c r="B17" s="369" t="s">
        <v>1409</v>
      </c>
      <c r="C17" s="369" t="s">
        <v>1410</v>
      </c>
      <c r="D17" s="369"/>
      <c r="E17" s="369" t="s">
        <v>1405</v>
      </c>
      <c r="F17" s="370">
        <v>1</v>
      </c>
      <c r="G17" s="370">
        <f>848-6</f>
        <v>842</v>
      </c>
      <c r="H17" s="901">
        <v>789000</v>
      </c>
      <c r="I17" s="901">
        <v>668283000</v>
      </c>
      <c r="J17" s="901">
        <f t="shared" si="0"/>
        <v>4339235.748218527</v>
      </c>
      <c r="K17" s="901">
        <f>3671309000-17672500</f>
        <v>3653636500</v>
      </c>
      <c r="L17" s="901">
        <f t="shared" si="1"/>
        <v>4321919500</v>
      </c>
      <c r="M17" s="904"/>
    </row>
    <row r="18" spans="1:13" s="45" customFormat="1" ht="25.5" customHeight="1">
      <c r="A18" s="371"/>
      <c r="B18" s="371"/>
      <c r="C18" s="371" t="s">
        <v>1410</v>
      </c>
      <c r="D18" s="371"/>
      <c r="E18" s="371"/>
      <c r="F18" s="373">
        <v>2</v>
      </c>
      <c r="G18" s="370">
        <v>850</v>
      </c>
      <c r="H18" s="903"/>
      <c r="I18" s="901">
        <v>789000</v>
      </c>
      <c r="J18" s="903">
        <f t="shared" si="0"/>
        <v>4171871.7647058824</v>
      </c>
      <c r="K18" s="901">
        <v>3546091000</v>
      </c>
      <c r="L18" s="903">
        <f t="shared" si="1"/>
        <v>3546880000</v>
      </c>
      <c r="M18" s="905"/>
    </row>
    <row r="19" spans="1:13" s="45" customFormat="1" ht="25.5" customHeight="1">
      <c r="A19" s="371"/>
      <c r="B19" s="371"/>
      <c r="C19" s="371" t="s">
        <v>1410</v>
      </c>
      <c r="D19" s="371"/>
      <c r="E19" s="371"/>
      <c r="F19" s="370">
        <v>3</v>
      </c>
      <c r="G19" s="370">
        <f>910-3</f>
        <v>907</v>
      </c>
      <c r="H19" s="901"/>
      <c r="I19" s="901">
        <v>56019000</v>
      </c>
      <c r="J19" s="901">
        <f t="shared" si="0"/>
        <v>4179094.8180815876</v>
      </c>
      <c r="K19" s="901">
        <f>3798790000-8351000</f>
        <v>3790439000</v>
      </c>
      <c r="L19" s="901">
        <f t="shared" si="1"/>
        <v>3846458000</v>
      </c>
      <c r="M19" s="904"/>
    </row>
    <row r="20" spans="1:13" s="45" customFormat="1" ht="25.5" customHeight="1">
      <c r="A20" s="371"/>
      <c r="B20" s="371"/>
      <c r="C20" s="371" t="s">
        <v>1404</v>
      </c>
      <c r="D20" s="371"/>
      <c r="E20" s="371"/>
      <c r="F20" s="370">
        <v>4</v>
      </c>
      <c r="G20" s="370">
        <f>986-2</f>
        <v>984</v>
      </c>
      <c r="H20" s="901"/>
      <c r="I20" s="901">
        <v>50496000</v>
      </c>
      <c r="J20" s="901">
        <f t="shared" si="0"/>
        <v>3960192.073170732</v>
      </c>
      <c r="K20" s="901">
        <f>3901949000-5120000</f>
        <v>3896829000</v>
      </c>
      <c r="L20" s="901">
        <f t="shared" si="1"/>
        <v>3947325000</v>
      </c>
      <c r="M20" s="904"/>
    </row>
    <row r="21" spans="1:13" s="45" customFormat="1" ht="26.25" customHeight="1">
      <c r="A21" s="372"/>
      <c r="B21" s="372"/>
      <c r="C21" s="372"/>
      <c r="D21" s="372"/>
      <c r="E21" s="366" t="s">
        <v>1406</v>
      </c>
      <c r="F21" s="370"/>
      <c r="G21" s="370">
        <f>SUM(G17:G20)</f>
        <v>3583</v>
      </c>
      <c r="H21" s="901">
        <v>789000</v>
      </c>
      <c r="I21" s="901">
        <f>SUM(I17:I20)</f>
        <v>775587000</v>
      </c>
      <c r="J21" s="901">
        <f t="shared" si="0"/>
        <v>4154896.8741278257</v>
      </c>
      <c r="K21" s="901">
        <f>SUM(K17:K20)</f>
        <v>14886995500</v>
      </c>
      <c r="L21" s="901">
        <f t="shared" si="1"/>
        <v>15662582500</v>
      </c>
      <c r="M21" s="902"/>
    </row>
    <row r="22" spans="1:13" s="45" customFormat="1" ht="25.5" customHeight="1">
      <c r="A22" s="371"/>
      <c r="B22" s="371" t="s">
        <v>1408</v>
      </c>
      <c r="C22" s="371" t="s">
        <v>1410</v>
      </c>
      <c r="D22" s="371"/>
      <c r="E22" s="371" t="s">
        <v>1411</v>
      </c>
      <c r="F22" s="373">
        <v>1</v>
      </c>
      <c r="G22" s="373">
        <f>802-1</f>
        <v>801</v>
      </c>
      <c r="H22" s="901">
        <v>789000</v>
      </c>
      <c r="I22" s="903">
        <v>3156000</v>
      </c>
      <c r="J22" s="903">
        <f t="shared" si="0"/>
        <v>4315108.6142322095</v>
      </c>
      <c r="K22" s="903">
        <f>3457565000-1163000</f>
        <v>3456402000</v>
      </c>
      <c r="L22" s="903">
        <f t="shared" si="1"/>
        <v>3459558000</v>
      </c>
      <c r="M22" s="905"/>
    </row>
    <row r="23" spans="1:13" s="45" customFormat="1" ht="25.5" customHeight="1">
      <c r="A23" s="371"/>
      <c r="B23" s="371"/>
      <c r="C23" s="371" t="s">
        <v>1410</v>
      </c>
      <c r="D23" s="371"/>
      <c r="E23" s="371"/>
      <c r="F23" s="370">
        <v>2</v>
      </c>
      <c r="G23" s="370">
        <v>812</v>
      </c>
      <c r="H23" s="901"/>
      <c r="I23" s="901"/>
      <c r="J23" s="901">
        <f t="shared" si="0"/>
        <v>4201082.5123152705</v>
      </c>
      <c r="K23" s="901">
        <v>3411279000</v>
      </c>
      <c r="L23" s="901">
        <f t="shared" si="1"/>
        <v>3411279000</v>
      </c>
      <c r="M23" s="904"/>
    </row>
    <row r="24" spans="1:13" s="45" customFormat="1" ht="25.5" customHeight="1">
      <c r="A24" s="371"/>
      <c r="B24" s="371"/>
      <c r="C24" s="371" t="s">
        <v>1410</v>
      </c>
      <c r="D24" s="371"/>
      <c r="E24" s="371"/>
      <c r="F24" s="370">
        <v>3</v>
      </c>
      <c r="G24" s="370">
        <v>902</v>
      </c>
      <c r="H24" s="901"/>
      <c r="I24" s="901"/>
      <c r="J24" s="901">
        <f t="shared" si="0"/>
        <v>4221195.12195122</v>
      </c>
      <c r="K24" s="901">
        <v>3807518000</v>
      </c>
      <c r="L24" s="901">
        <f t="shared" si="1"/>
        <v>3807518000</v>
      </c>
      <c r="M24" s="904"/>
    </row>
    <row r="25" spans="1:13" s="45" customFormat="1" ht="25.5" customHeight="1">
      <c r="A25" s="371"/>
      <c r="B25" s="371"/>
      <c r="C25" s="371" t="s">
        <v>1404</v>
      </c>
      <c r="D25" s="371"/>
      <c r="E25" s="371"/>
      <c r="F25" s="370">
        <v>4</v>
      </c>
      <c r="G25" s="370">
        <v>935</v>
      </c>
      <c r="H25" s="901"/>
      <c r="I25" s="901"/>
      <c r="J25" s="901">
        <f t="shared" si="0"/>
        <v>4097404.278074866</v>
      </c>
      <c r="K25" s="901">
        <v>3831073000</v>
      </c>
      <c r="L25" s="901">
        <f t="shared" si="1"/>
        <v>3831073000</v>
      </c>
      <c r="M25" s="904"/>
    </row>
    <row r="26" spans="1:13" s="45" customFormat="1" ht="25.5" customHeight="1">
      <c r="A26" s="372"/>
      <c r="B26" s="372"/>
      <c r="C26" s="372"/>
      <c r="D26" s="372"/>
      <c r="E26" s="366" t="s">
        <v>1406</v>
      </c>
      <c r="F26" s="370"/>
      <c r="G26" s="370">
        <f>SUM(G22:G25)</f>
        <v>3450</v>
      </c>
      <c r="H26" s="901"/>
      <c r="I26" s="901">
        <f>SUM(I22:I25)</f>
        <v>3156000</v>
      </c>
      <c r="J26" s="901">
        <f t="shared" si="0"/>
        <v>4204716.521739131</v>
      </c>
      <c r="K26" s="901">
        <f>SUM(K22:K25)</f>
        <v>14506272000</v>
      </c>
      <c r="L26" s="901">
        <f t="shared" si="1"/>
        <v>14509428000</v>
      </c>
      <c r="M26" s="902"/>
    </row>
    <row r="27" spans="1:13" s="45" customFormat="1" ht="26.25" customHeight="1">
      <c r="A27" s="1521" t="s">
        <v>1412</v>
      </c>
      <c r="B27" s="1522"/>
      <c r="C27" s="1522"/>
      <c r="D27" s="1522"/>
      <c r="E27" s="1523"/>
      <c r="F27" s="370"/>
      <c r="G27" s="370">
        <v>202</v>
      </c>
      <c r="H27" s="901"/>
      <c r="I27" s="901"/>
      <c r="J27" s="901"/>
      <c r="K27" s="901">
        <v>41082000</v>
      </c>
      <c r="L27" s="901">
        <f>K27</f>
        <v>41082000</v>
      </c>
      <c r="M27" s="902"/>
    </row>
    <row r="28" spans="1:13" ht="18" customHeight="1">
      <c r="A28" s="1521" t="s">
        <v>1413</v>
      </c>
      <c r="B28" s="1522"/>
      <c r="C28" s="1522"/>
      <c r="D28" s="1522"/>
      <c r="E28" s="1523"/>
      <c r="F28" s="370"/>
      <c r="G28" s="370">
        <v>204</v>
      </c>
      <c r="H28" s="901"/>
      <c r="I28" s="901"/>
      <c r="J28" s="901"/>
      <c r="K28" s="901">
        <v>46279000</v>
      </c>
      <c r="L28" s="901">
        <f>K28</f>
        <v>46279000</v>
      </c>
      <c r="M28" s="902"/>
    </row>
    <row r="29" spans="1:13" ht="22.5" customHeight="1">
      <c r="A29" s="1524" t="s">
        <v>1075</v>
      </c>
      <c r="B29" s="1524"/>
      <c r="C29" s="1524"/>
      <c r="D29" s="1524"/>
      <c r="E29" s="1524"/>
      <c r="F29" s="370"/>
      <c r="G29" s="370">
        <f>SUM(G26,G21,G16,G11)+G27+G28</f>
        <v>9107</v>
      </c>
      <c r="H29" s="901"/>
      <c r="I29" s="1129">
        <f>SUM(I26,I21,I16,I11)</f>
        <v>972837000</v>
      </c>
      <c r="J29" s="1129"/>
      <c r="K29" s="1129">
        <f>SUM(K26,K21,K16,K11)+K27+K28</f>
        <v>35862764000</v>
      </c>
      <c r="L29" s="1129">
        <f>SUM(L26,L21,L16,L11)+L27+L28</f>
        <v>36835601000</v>
      </c>
      <c r="M29" s="902"/>
    </row>
  </sheetData>
  <sheetProtection/>
  <mergeCells count="15">
    <mergeCell ref="A29:E29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A27:E27"/>
    <mergeCell ref="A28:E28"/>
  </mergeCells>
  <printOptions horizontalCentered="1"/>
  <pageMargins left="0.5905511811023623" right="0.15748031496062992" top="0.4724409448818898" bottom="0.4330708661417323" header="0.35433070866141736" footer="0.15748031496062992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F84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32.21484375" style="0" customWidth="1"/>
    <col min="2" max="2" width="6.4453125" style="0" customWidth="1"/>
    <col min="3" max="3" width="19.21484375" style="1182" customWidth="1"/>
    <col min="4" max="5" width="19.21484375" style="1183" customWidth="1"/>
    <col min="6" max="6" width="11.5546875" style="1201" customWidth="1"/>
  </cols>
  <sheetData>
    <row r="1" spans="1:6" ht="18.75">
      <c r="A1" s="1526" t="s">
        <v>1444</v>
      </c>
      <c r="B1" s="1526"/>
      <c r="C1" s="1526"/>
      <c r="D1" s="1526"/>
      <c r="E1" s="1526"/>
      <c r="F1" s="1526"/>
    </row>
    <row r="2" ht="13.5">
      <c r="F2" s="1184" t="s">
        <v>1445</v>
      </c>
    </row>
    <row r="3" spans="1:6" s="61" customFormat="1" ht="15" customHeight="1">
      <c r="A3" s="1130" t="s">
        <v>1446</v>
      </c>
      <c r="B3" s="1130" t="s">
        <v>1211</v>
      </c>
      <c r="C3" s="1130" t="s">
        <v>1212</v>
      </c>
      <c r="D3" s="1130" t="s">
        <v>1213</v>
      </c>
      <c r="E3" s="1130" t="s">
        <v>1447</v>
      </c>
      <c r="F3" s="1130" t="s">
        <v>1448</v>
      </c>
    </row>
    <row r="4" spans="1:6" ht="15" customHeight="1">
      <c r="A4" s="1185" t="s">
        <v>1214</v>
      </c>
      <c r="B4" s="1186">
        <v>4</v>
      </c>
      <c r="C4" s="1187">
        <v>844000</v>
      </c>
      <c r="D4" s="1187">
        <v>21727000</v>
      </c>
      <c r="E4" s="1188">
        <f>SUM(C4+D4)</f>
        <v>22571000</v>
      </c>
      <c r="F4" s="1189"/>
    </row>
    <row r="5" spans="1:6" ht="15" customHeight="1">
      <c r="A5" s="1185" t="s">
        <v>1449</v>
      </c>
      <c r="B5" s="1186">
        <v>1</v>
      </c>
      <c r="C5" s="1187">
        <v>844000</v>
      </c>
      <c r="D5" s="1187">
        <v>6368000</v>
      </c>
      <c r="E5" s="1188">
        <f aca="true" t="shared" si="0" ref="E5:E40">SUM(C5+D5)</f>
        <v>7212000</v>
      </c>
      <c r="F5" s="1189"/>
    </row>
    <row r="6" spans="1:6" ht="15" customHeight="1">
      <c r="A6" s="1185" t="s">
        <v>1215</v>
      </c>
      <c r="B6" s="1186">
        <v>4</v>
      </c>
      <c r="C6" s="1187">
        <v>1688000</v>
      </c>
      <c r="D6" s="1187">
        <v>25510000</v>
      </c>
      <c r="E6" s="1188">
        <f t="shared" si="0"/>
        <v>27198000</v>
      </c>
      <c r="F6" s="1189"/>
    </row>
    <row r="7" spans="1:6" ht="15" customHeight="1">
      <c r="A7" s="1185" t="s">
        <v>1216</v>
      </c>
      <c r="B7" s="1186">
        <v>2</v>
      </c>
      <c r="C7" s="1187">
        <v>844000</v>
      </c>
      <c r="D7" s="1187">
        <v>12675000</v>
      </c>
      <c r="E7" s="1188">
        <f t="shared" si="0"/>
        <v>13519000</v>
      </c>
      <c r="F7" s="1189"/>
    </row>
    <row r="8" spans="1:6" ht="15" customHeight="1">
      <c r="A8" s="1185" t="s">
        <v>1217</v>
      </c>
      <c r="B8" s="1186">
        <v>2</v>
      </c>
      <c r="C8" s="1187">
        <v>844000</v>
      </c>
      <c r="D8" s="1187">
        <v>12675000</v>
      </c>
      <c r="E8" s="1188">
        <f t="shared" si="0"/>
        <v>13519000</v>
      </c>
      <c r="F8" s="1189"/>
    </row>
    <row r="9" spans="1:6" ht="15" customHeight="1">
      <c r="A9" s="1185" t="s">
        <v>1218</v>
      </c>
      <c r="B9" s="1186">
        <v>2</v>
      </c>
      <c r="C9" s="1187">
        <v>0</v>
      </c>
      <c r="D9" s="1187">
        <v>12772000</v>
      </c>
      <c r="E9" s="1188">
        <f t="shared" si="0"/>
        <v>12772000</v>
      </c>
      <c r="F9" s="1189"/>
    </row>
    <row r="10" spans="1:6" ht="15" customHeight="1">
      <c r="A10" s="1185" t="s">
        <v>1219</v>
      </c>
      <c r="B10" s="1186">
        <v>1</v>
      </c>
      <c r="C10" s="1187">
        <v>0</v>
      </c>
      <c r="D10" s="1187">
        <v>6307000</v>
      </c>
      <c r="E10" s="1188">
        <f t="shared" si="0"/>
        <v>6307000</v>
      </c>
      <c r="F10" s="1189"/>
    </row>
    <row r="11" spans="1:6" ht="15" customHeight="1">
      <c r="A11" s="1185" t="s">
        <v>1220</v>
      </c>
      <c r="B11" s="1186">
        <v>4</v>
      </c>
      <c r="C11" s="1187">
        <v>1688000</v>
      </c>
      <c r="D11" s="1187">
        <v>25508000</v>
      </c>
      <c r="E11" s="1188">
        <f t="shared" si="0"/>
        <v>27196000</v>
      </c>
      <c r="F11" s="1189"/>
    </row>
    <row r="12" spans="1:6" ht="15" customHeight="1">
      <c r="A12" s="1185" t="s">
        <v>1221</v>
      </c>
      <c r="B12" s="1186">
        <v>2</v>
      </c>
      <c r="C12" s="1187">
        <v>844000</v>
      </c>
      <c r="D12" s="1187">
        <v>12835000</v>
      </c>
      <c r="E12" s="1188">
        <f t="shared" si="0"/>
        <v>13679000</v>
      </c>
      <c r="F12" s="1189"/>
    </row>
    <row r="13" spans="1:6" ht="15" customHeight="1">
      <c r="A13" s="1185" t="s">
        <v>1222</v>
      </c>
      <c r="B13" s="1186">
        <v>1</v>
      </c>
      <c r="C13" s="1187">
        <v>0</v>
      </c>
      <c r="D13" s="1187">
        <v>6307000</v>
      </c>
      <c r="E13" s="1188">
        <f t="shared" si="0"/>
        <v>6307000</v>
      </c>
      <c r="F13" s="1189"/>
    </row>
    <row r="14" spans="1:6" ht="15" customHeight="1">
      <c r="A14" s="1185" t="s">
        <v>1223</v>
      </c>
      <c r="B14" s="1186">
        <v>1</v>
      </c>
      <c r="C14" s="1187">
        <v>0</v>
      </c>
      <c r="D14" s="1187">
        <v>6307000</v>
      </c>
      <c r="E14" s="1188">
        <f t="shared" si="0"/>
        <v>6307000</v>
      </c>
      <c r="F14" s="1189"/>
    </row>
    <row r="15" spans="1:6" ht="13.5">
      <c r="A15" s="1185" t="s">
        <v>1224</v>
      </c>
      <c r="B15" s="1186">
        <v>2</v>
      </c>
      <c r="C15" s="1187">
        <v>844000</v>
      </c>
      <c r="D15" s="1187">
        <v>12675000</v>
      </c>
      <c r="E15" s="1188">
        <f t="shared" si="0"/>
        <v>13519000</v>
      </c>
      <c r="F15" s="1189"/>
    </row>
    <row r="16" spans="1:6" ht="13.5">
      <c r="A16" s="1185" t="s">
        <v>1225</v>
      </c>
      <c r="B16" s="1186">
        <v>4</v>
      </c>
      <c r="C16" s="1187">
        <v>1688000</v>
      </c>
      <c r="D16" s="1187">
        <v>25508000</v>
      </c>
      <c r="E16" s="1188">
        <f t="shared" si="0"/>
        <v>27196000</v>
      </c>
      <c r="F16" s="1189"/>
    </row>
    <row r="17" spans="1:6" ht="13.5">
      <c r="A17" s="1185" t="s">
        <v>1227</v>
      </c>
      <c r="B17" s="1186">
        <v>26</v>
      </c>
      <c r="C17" s="1187">
        <f>10128000+8752000</f>
        <v>18880000</v>
      </c>
      <c r="D17" s="1187">
        <f>124040000-5751000</f>
        <v>118289000</v>
      </c>
      <c r="E17" s="1188">
        <f t="shared" si="0"/>
        <v>137169000</v>
      </c>
      <c r="F17" s="1189"/>
    </row>
    <row r="18" spans="1:6" ht="13.5">
      <c r="A18" s="1185" t="s">
        <v>1228</v>
      </c>
      <c r="B18" s="1186">
        <v>11</v>
      </c>
      <c r="C18" s="1187">
        <v>5064000</v>
      </c>
      <c r="D18" s="1187">
        <v>53390000</v>
      </c>
      <c r="E18" s="1188">
        <f t="shared" si="0"/>
        <v>58454000</v>
      </c>
      <c r="F18" s="1189"/>
    </row>
    <row r="19" spans="1:6" ht="13.5">
      <c r="A19" s="1185" t="s">
        <v>1229</v>
      </c>
      <c r="B19" s="1186">
        <v>7</v>
      </c>
      <c r="C19" s="1187">
        <v>3376000</v>
      </c>
      <c r="D19" s="1187">
        <v>32700000</v>
      </c>
      <c r="E19" s="1188">
        <f t="shared" si="0"/>
        <v>36076000</v>
      </c>
      <c r="F19" s="1189"/>
    </row>
    <row r="20" spans="1:6" ht="13.5">
      <c r="A20" s="1185" t="s">
        <v>1230</v>
      </c>
      <c r="B20" s="1186">
        <v>11</v>
      </c>
      <c r="C20" s="1187">
        <v>5908000</v>
      </c>
      <c r="D20" s="1187">
        <v>50611000</v>
      </c>
      <c r="E20" s="1188">
        <f t="shared" si="0"/>
        <v>56519000</v>
      </c>
      <c r="F20" s="1189"/>
    </row>
    <row r="21" spans="1:6" ht="13.5">
      <c r="A21" s="1185" t="s">
        <v>1231</v>
      </c>
      <c r="B21" s="1186">
        <v>10</v>
      </c>
      <c r="C21" s="1187">
        <v>4220000</v>
      </c>
      <c r="D21" s="1187">
        <v>47234000</v>
      </c>
      <c r="E21" s="1188">
        <f t="shared" si="0"/>
        <v>51454000</v>
      </c>
      <c r="F21" s="1189"/>
    </row>
    <row r="22" spans="1:6" ht="13.5">
      <c r="A22" s="1185" t="s">
        <v>1232</v>
      </c>
      <c r="B22" s="1186">
        <v>10</v>
      </c>
      <c r="C22" s="1187">
        <v>4220000</v>
      </c>
      <c r="D22" s="1187">
        <v>47231000</v>
      </c>
      <c r="E22" s="1188">
        <f t="shared" si="0"/>
        <v>51451000</v>
      </c>
      <c r="F22" s="1189"/>
    </row>
    <row r="23" spans="1:6" ht="13.5">
      <c r="A23" s="1185" t="s">
        <v>1233</v>
      </c>
      <c r="B23" s="1186">
        <v>14</v>
      </c>
      <c r="C23" s="1187">
        <v>5064000</v>
      </c>
      <c r="D23" s="1187">
        <v>65567000</v>
      </c>
      <c r="E23" s="1188">
        <f t="shared" si="0"/>
        <v>70631000</v>
      </c>
      <c r="F23" s="1189"/>
    </row>
    <row r="24" spans="1:6" ht="13.5">
      <c r="A24" s="1185" t="s">
        <v>1234</v>
      </c>
      <c r="B24" s="1186">
        <v>7</v>
      </c>
      <c r="C24" s="1187">
        <v>3376000</v>
      </c>
      <c r="D24" s="1187">
        <v>32187000</v>
      </c>
      <c r="E24" s="1188">
        <f t="shared" si="0"/>
        <v>35563000</v>
      </c>
      <c r="F24" s="1189"/>
    </row>
    <row r="25" spans="1:6" ht="13.5">
      <c r="A25" s="1185" t="s">
        <v>1235</v>
      </c>
      <c r="B25" s="1186">
        <v>8</v>
      </c>
      <c r="C25" s="1187">
        <v>2532000</v>
      </c>
      <c r="D25" s="1187">
        <v>37997000</v>
      </c>
      <c r="E25" s="1188">
        <f t="shared" si="0"/>
        <v>40529000</v>
      </c>
      <c r="F25" s="1189"/>
    </row>
    <row r="26" spans="1:6" ht="13.5">
      <c r="A26" s="1185" t="s">
        <v>1236</v>
      </c>
      <c r="B26" s="1186">
        <v>2</v>
      </c>
      <c r="C26" s="1187">
        <v>0</v>
      </c>
      <c r="D26" s="1187">
        <v>9146000</v>
      </c>
      <c r="E26" s="1188">
        <f t="shared" si="0"/>
        <v>9146000</v>
      </c>
      <c r="F26" s="1189"/>
    </row>
    <row r="27" spans="1:6" ht="13.5">
      <c r="A27" s="1185" t="s">
        <v>1237</v>
      </c>
      <c r="B27" s="1186">
        <v>10</v>
      </c>
      <c r="C27" s="1187">
        <v>4220000</v>
      </c>
      <c r="D27" s="1187">
        <v>45950000</v>
      </c>
      <c r="E27" s="1188">
        <f t="shared" si="0"/>
        <v>50170000</v>
      </c>
      <c r="F27" s="1189"/>
    </row>
    <row r="28" spans="1:6" ht="13.5">
      <c r="A28" s="1185" t="s">
        <v>1238</v>
      </c>
      <c r="B28" s="1186">
        <f>29-1</f>
        <v>28</v>
      </c>
      <c r="C28" s="1187">
        <f>10128000+844000</f>
        <v>10972000</v>
      </c>
      <c r="D28" s="1187">
        <f>135194000-5461000-4075900</f>
        <v>125657100</v>
      </c>
      <c r="E28" s="1188">
        <f t="shared" si="0"/>
        <v>136629100</v>
      </c>
      <c r="F28" s="1189"/>
    </row>
    <row r="29" spans="1:6" ht="13.5">
      <c r="A29" s="1185" t="s">
        <v>1239</v>
      </c>
      <c r="B29" s="1186">
        <v>7</v>
      </c>
      <c r="C29" s="1187">
        <v>2532000</v>
      </c>
      <c r="D29" s="1187">
        <v>32143000</v>
      </c>
      <c r="E29" s="1188">
        <f t="shared" si="0"/>
        <v>34675000</v>
      </c>
      <c r="F29" s="1189"/>
    </row>
    <row r="30" spans="1:6" ht="13.5">
      <c r="A30" s="1185" t="s">
        <v>1240</v>
      </c>
      <c r="B30" s="1186">
        <v>4</v>
      </c>
      <c r="C30" s="1187">
        <v>1688000</v>
      </c>
      <c r="D30" s="1187">
        <v>18380000</v>
      </c>
      <c r="E30" s="1188">
        <f t="shared" si="0"/>
        <v>20068000</v>
      </c>
      <c r="F30" s="1189"/>
    </row>
    <row r="31" spans="1:6" ht="13.5">
      <c r="A31" s="1185" t="s">
        <v>1450</v>
      </c>
      <c r="B31" s="1186">
        <f>1-1</f>
        <v>0</v>
      </c>
      <c r="C31" s="1187">
        <f>844000-844000</f>
        <v>0</v>
      </c>
      <c r="D31" s="1187">
        <f>4617000-4617000</f>
        <v>0</v>
      </c>
      <c r="E31" s="1188">
        <f t="shared" si="0"/>
        <v>0</v>
      </c>
      <c r="F31" s="1189"/>
    </row>
    <row r="32" spans="1:6" ht="13.5">
      <c r="A32" s="1185" t="s">
        <v>1241</v>
      </c>
      <c r="B32" s="1186">
        <v>6</v>
      </c>
      <c r="C32" s="1187">
        <v>3376000</v>
      </c>
      <c r="D32" s="1187">
        <v>27368000</v>
      </c>
      <c r="E32" s="1188">
        <f t="shared" si="0"/>
        <v>30744000</v>
      </c>
      <c r="F32" s="1189"/>
    </row>
    <row r="33" spans="1:6" ht="13.5">
      <c r="A33" s="1185" t="s">
        <v>1242</v>
      </c>
      <c r="B33" s="1186">
        <v>14</v>
      </c>
      <c r="C33" s="1187">
        <v>7596000</v>
      </c>
      <c r="D33" s="1187">
        <v>63844000</v>
      </c>
      <c r="E33" s="1188">
        <f t="shared" si="0"/>
        <v>71440000</v>
      </c>
      <c r="F33" s="1189"/>
    </row>
    <row r="34" spans="1:6" ht="13.5">
      <c r="A34" s="1185" t="s">
        <v>1243</v>
      </c>
      <c r="B34" s="1186">
        <v>5</v>
      </c>
      <c r="C34" s="1187">
        <v>1688000</v>
      </c>
      <c r="D34" s="1187">
        <v>22748000</v>
      </c>
      <c r="E34" s="1188">
        <f t="shared" si="0"/>
        <v>24436000</v>
      </c>
      <c r="F34" s="1189"/>
    </row>
    <row r="35" spans="1:6" ht="13.5">
      <c r="A35" s="1185" t="s">
        <v>1244</v>
      </c>
      <c r="B35" s="1186">
        <v>4</v>
      </c>
      <c r="C35" s="1187">
        <v>844000</v>
      </c>
      <c r="D35" s="1187">
        <v>18172000</v>
      </c>
      <c r="E35" s="1188">
        <f t="shared" si="0"/>
        <v>19016000</v>
      </c>
      <c r="F35" s="1189"/>
    </row>
    <row r="36" spans="1:6" ht="13.5">
      <c r="A36" s="1185" t="s">
        <v>1245</v>
      </c>
      <c r="B36" s="1186">
        <v>6</v>
      </c>
      <c r="C36" s="1187">
        <v>3376000</v>
      </c>
      <c r="D36" s="1187">
        <v>27368000</v>
      </c>
      <c r="E36" s="1188">
        <f t="shared" si="0"/>
        <v>30744000</v>
      </c>
      <c r="F36" s="1189"/>
    </row>
    <row r="37" spans="1:6" ht="13.5">
      <c r="A37" s="1185" t="s">
        <v>1246</v>
      </c>
      <c r="B37" s="1186">
        <v>6</v>
      </c>
      <c r="C37" s="1187">
        <v>2532000</v>
      </c>
      <c r="D37" s="1187">
        <v>27324000</v>
      </c>
      <c r="E37" s="1188">
        <f t="shared" si="0"/>
        <v>29856000</v>
      </c>
      <c r="F37" s="1189"/>
    </row>
    <row r="38" spans="1:6" ht="13.5">
      <c r="A38" s="1185" t="s">
        <v>1247</v>
      </c>
      <c r="B38" s="1186">
        <v>2</v>
      </c>
      <c r="C38" s="1187">
        <v>0</v>
      </c>
      <c r="D38" s="1187">
        <v>9064000</v>
      </c>
      <c r="E38" s="1188">
        <f t="shared" si="0"/>
        <v>9064000</v>
      </c>
      <c r="F38" s="1189"/>
    </row>
    <row r="39" spans="1:6" ht="13.5">
      <c r="A39" s="1185" t="s">
        <v>1248</v>
      </c>
      <c r="B39" s="1186">
        <f>28-2</f>
        <v>26</v>
      </c>
      <c r="C39" s="1187">
        <v>8440000</v>
      </c>
      <c r="D39" s="1187">
        <f>127380000-8467200</f>
        <v>118912800</v>
      </c>
      <c r="E39" s="1188">
        <f t="shared" si="0"/>
        <v>127352800</v>
      </c>
      <c r="F39" s="1189"/>
    </row>
    <row r="40" spans="1:6" s="1196" customFormat="1" ht="12">
      <c r="A40" s="1190" t="s">
        <v>1451</v>
      </c>
      <c r="B40" s="1191">
        <f>SUM(B4:B39)</f>
        <v>254</v>
      </c>
      <c r="C40" s="1192">
        <f>SUM(C4:C39)</f>
        <v>110032000</v>
      </c>
      <c r="D40" s="1193">
        <f>SUM(D4:D39)</f>
        <v>1218456900</v>
      </c>
      <c r="E40" s="1194">
        <f t="shared" si="0"/>
        <v>1328488900</v>
      </c>
      <c r="F40" s="1195"/>
    </row>
    <row r="43" spans="1:6" ht="18.75">
      <c r="A43" s="1526" t="s">
        <v>1452</v>
      </c>
      <c r="B43" s="1526"/>
      <c r="C43" s="1526"/>
      <c r="D43" s="1526"/>
      <c r="E43" s="1526"/>
      <c r="F43" s="1526"/>
    </row>
    <row r="44" ht="13.5">
      <c r="F44" s="1184" t="s">
        <v>1453</v>
      </c>
    </row>
    <row r="45" spans="1:6" ht="13.5">
      <c r="A45" s="1130" t="s">
        <v>1454</v>
      </c>
      <c r="B45" s="1130" t="s">
        <v>1211</v>
      </c>
      <c r="C45" s="1130" t="s">
        <v>1212</v>
      </c>
      <c r="D45" s="1130" t="s">
        <v>1213</v>
      </c>
      <c r="E45" s="1130" t="s">
        <v>1455</v>
      </c>
      <c r="F45" s="1130" t="s">
        <v>1456</v>
      </c>
    </row>
    <row r="46" spans="1:6" ht="13.5">
      <c r="A46" s="1131" t="s">
        <v>1214</v>
      </c>
      <c r="B46" s="1132">
        <v>4</v>
      </c>
      <c r="C46" s="1133">
        <v>844000</v>
      </c>
      <c r="D46" s="1133">
        <v>25289000</v>
      </c>
      <c r="E46" s="1133">
        <f>SUM(C46+D46)</f>
        <v>26133000</v>
      </c>
      <c r="F46" s="1134"/>
    </row>
    <row r="47" spans="1:6" ht="13.5">
      <c r="A47" s="1131" t="s">
        <v>1449</v>
      </c>
      <c r="B47" s="1132">
        <v>1</v>
      </c>
      <c r="C47" s="1133">
        <v>0</v>
      </c>
      <c r="D47" s="1133">
        <v>6307000</v>
      </c>
      <c r="E47" s="1133">
        <f aca="true" t="shared" si="1" ref="E47:E84">SUM(C47+D47)</f>
        <v>6307000</v>
      </c>
      <c r="F47" s="1134"/>
    </row>
    <row r="48" spans="1:6" ht="13.5">
      <c r="A48" s="1131" t="s">
        <v>1215</v>
      </c>
      <c r="B48" s="1132">
        <v>4</v>
      </c>
      <c r="C48" s="1133">
        <v>0</v>
      </c>
      <c r="D48" s="1133">
        <v>21824000</v>
      </c>
      <c r="E48" s="1133">
        <f t="shared" si="1"/>
        <v>21824000</v>
      </c>
      <c r="F48" s="1134"/>
    </row>
    <row r="49" spans="1:6" ht="13.5">
      <c r="A49" s="1131" t="s">
        <v>1216</v>
      </c>
      <c r="B49" s="1132">
        <v>3</v>
      </c>
      <c r="C49" s="1133">
        <v>844000</v>
      </c>
      <c r="D49" s="1133">
        <v>18982000</v>
      </c>
      <c r="E49" s="1133">
        <f t="shared" si="1"/>
        <v>19826000</v>
      </c>
      <c r="F49" s="1134"/>
    </row>
    <row r="50" spans="1:6" ht="13.5">
      <c r="A50" s="1131" t="s">
        <v>1217</v>
      </c>
      <c r="B50" s="1132">
        <v>3</v>
      </c>
      <c r="C50" s="1133">
        <v>1688000</v>
      </c>
      <c r="D50" s="1133">
        <v>15641000</v>
      </c>
      <c r="E50" s="1133">
        <f t="shared" si="1"/>
        <v>17329000</v>
      </c>
      <c r="F50" s="1134"/>
    </row>
    <row r="51" spans="1:6" ht="13.5">
      <c r="A51" s="1131" t="s">
        <v>1218</v>
      </c>
      <c r="B51" s="1132">
        <v>2</v>
      </c>
      <c r="C51" s="1133">
        <v>0</v>
      </c>
      <c r="D51" s="1133">
        <v>12772000</v>
      </c>
      <c r="E51" s="1133">
        <f t="shared" si="1"/>
        <v>12772000</v>
      </c>
      <c r="F51" s="1134"/>
    </row>
    <row r="52" spans="1:6" ht="13.5">
      <c r="A52" s="1131" t="s">
        <v>1219</v>
      </c>
      <c r="B52" s="1132">
        <v>2</v>
      </c>
      <c r="C52" s="1133">
        <v>844000</v>
      </c>
      <c r="D52" s="1133">
        <v>9113000</v>
      </c>
      <c r="E52" s="1133">
        <f t="shared" si="1"/>
        <v>9957000</v>
      </c>
      <c r="F52" s="1134"/>
    </row>
    <row r="53" spans="1:6" ht="13.5">
      <c r="A53" s="1131" t="s">
        <v>1220</v>
      </c>
      <c r="B53" s="1132">
        <v>4</v>
      </c>
      <c r="C53" s="1133">
        <v>0</v>
      </c>
      <c r="D53" s="1133">
        <v>21824000</v>
      </c>
      <c r="E53" s="1133">
        <f t="shared" si="1"/>
        <v>21824000</v>
      </c>
      <c r="F53" s="1134"/>
    </row>
    <row r="54" spans="1:6" ht="13.5">
      <c r="A54" s="1131" t="s">
        <v>1221</v>
      </c>
      <c r="B54" s="1132">
        <v>3</v>
      </c>
      <c r="C54" s="1133">
        <v>844000</v>
      </c>
      <c r="D54" s="1133">
        <v>15578000</v>
      </c>
      <c r="E54" s="1133">
        <f t="shared" si="1"/>
        <v>16422000</v>
      </c>
      <c r="F54" s="1134"/>
    </row>
    <row r="55" spans="1:6" ht="13.5">
      <c r="A55" s="1131" t="s">
        <v>1222</v>
      </c>
      <c r="B55" s="1132">
        <v>1</v>
      </c>
      <c r="C55" s="1133">
        <v>0</v>
      </c>
      <c r="D55" s="1133">
        <v>2745000</v>
      </c>
      <c r="E55" s="1133">
        <f t="shared" si="1"/>
        <v>2745000</v>
      </c>
      <c r="F55" s="1134"/>
    </row>
    <row r="56" spans="1:6" ht="13.5">
      <c r="A56" s="1131" t="s">
        <v>1223</v>
      </c>
      <c r="B56" s="1132">
        <v>1</v>
      </c>
      <c r="C56" s="1133">
        <v>0</v>
      </c>
      <c r="D56" s="1133">
        <v>2745000</v>
      </c>
      <c r="E56" s="1133">
        <f t="shared" si="1"/>
        <v>2745000</v>
      </c>
      <c r="F56" s="1134"/>
    </row>
    <row r="57" spans="1:6" ht="13.5">
      <c r="A57" s="1131" t="s">
        <v>1224</v>
      </c>
      <c r="B57" s="1132">
        <v>2</v>
      </c>
      <c r="C57" s="1133">
        <v>0</v>
      </c>
      <c r="D57" s="1133">
        <v>9052000</v>
      </c>
      <c r="E57" s="1133">
        <f t="shared" si="1"/>
        <v>9052000</v>
      </c>
      <c r="F57" s="1134"/>
    </row>
    <row r="58" spans="1:6" ht="13.5">
      <c r="A58" s="1131" t="s">
        <v>1225</v>
      </c>
      <c r="B58" s="1132">
        <v>4</v>
      </c>
      <c r="C58" s="1133">
        <v>0</v>
      </c>
      <c r="D58" s="1133">
        <v>21824000</v>
      </c>
      <c r="E58" s="1133">
        <f t="shared" si="1"/>
        <v>21824000</v>
      </c>
      <c r="F58" s="1134"/>
    </row>
    <row r="59" spans="1:6" ht="13.5">
      <c r="A59" s="1131" t="s">
        <v>1226</v>
      </c>
      <c r="B59" s="1132">
        <v>1</v>
      </c>
      <c r="C59" s="1133">
        <v>844000</v>
      </c>
      <c r="D59" s="1133">
        <v>6368000</v>
      </c>
      <c r="E59" s="1133">
        <f t="shared" si="1"/>
        <v>7212000</v>
      </c>
      <c r="F59" s="1134"/>
    </row>
    <row r="60" spans="1:6" ht="13.5">
      <c r="A60" s="1131" t="s">
        <v>1227</v>
      </c>
      <c r="B60" s="1132">
        <v>22</v>
      </c>
      <c r="C60" s="1133">
        <v>0</v>
      </c>
      <c r="D60" s="1133">
        <v>104431000</v>
      </c>
      <c r="E60" s="1133">
        <f t="shared" si="1"/>
        <v>104431000</v>
      </c>
      <c r="F60" s="1134"/>
    </row>
    <row r="61" spans="1:6" ht="13.5">
      <c r="A61" s="1131" t="s">
        <v>1228</v>
      </c>
      <c r="B61" s="1132">
        <v>11</v>
      </c>
      <c r="C61" s="1133">
        <v>0</v>
      </c>
      <c r="D61" s="1133">
        <v>53108000</v>
      </c>
      <c r="E61" s="1133">
        <f t="shared" si="1"/>
        <v>53108000</v>
      </c>
      <c r="F61" s="1134"/>
    </row>
    <row r="62" spans="1:6" ht="13.5">
      <c r="A62" s="1131" t="s">
        <v>1229</v>
      </c>
      <c r="B62" s="1132">
        <v>7</v>
      </c>
      <c r="C62" s="1133">
        <v>844000</v>
      </c>
      <c r="D62" s="1133">
        <v>32310000</v>
      </c>
      <c r="E62" s="1133">
        <f t="shared" si="1"/>
        <v>33154000</v>
      </c>
      <c r="F62" s="1134"/>
    </row>
    <row r="63" spans="1:6" ht="13.5">
      <c r="A63" s="1131" t="s">
        <v>1230</v>
      </c>
      <c r="B63" s="1132">
        <v>11</v>
      </c>
      <c r="C63" s="1133">
        <v>0</v>
      </c>
      <c r="D63" s="1133">
        <v>50303000</v>
      </c>
      <c r="E63" s="1133">
        <f t="shared" si="1"/>
        <v>50303000</v>
      </c>
      <c r="F63" s="1134"/>
    </row>
    <row r="64" spans="1:6" ht="13.5">
      <c r="A64" s="1131" t="s">
        <v>1231</v>
      </c>
      <c r="B64" s="1132">
        <v>5</v>
      </c>
      <c r="C64" s="1133">
        <v>0</v>
      </c>
      <c r="D64" s="1133">
        <v>23375000</v>
      </c>
      <c r="E64" s="1133">
        <f t="shared" si="1"/>
        <v>23375000</v>
      </c>
      <c r="F64" s="1134"/>
    </row>
    <row r="65" spans="1:6" ht="13.5">
      <c r="A65" s="1131" t="s">
        <v>1232</v>
      </c>
      <c r="B65" s="1132">
        <v>7</v>
      </c>
      <c r="C65" s="1133">
        <v>0</v>
      </c>
      <c r="D65" s="1133">
        <v>32776000</v>
      </c>
      <c r="E65" s="1133">
        <f t="shared" si="1"/>
        <v>32776000</v>
      </c>
      <c r="F65" s="1134"/>
    </row>
    <row r="66" spans="1:6" ht="13.5">
      <c r="A66" s="1131" t="s">
        <v>1233</v>
      </c>
      <c r="B66" s="1132">
        <v>15</v>
      </c>
      <c r="C66" s="1133">
        <v>0</v>
      </c>
      <c r="D66" s="1133">
        <v>69870000</v>
      </c>
      <c r="E66" s="1133">
        <f t="shared" si="1"/>
        <v>69870000</v>
      </c>
      <c r="F66" s="1134"/>
    </row>
    <row r="67" spans="1:6" ht="13.5">
      <c r="A67" s="1131" t="s">
        <v>1234</v>
      </c>
      <c r="B67" s="1132">
        <v>7</v>
      </c>
      <c r="C67" s="1133">
        <v>0</v>
      </c>
      <c r="D67" s="1133">
        <v>32011000</v>
      </c>
      <c r="E67" s="1133">
        <f t="shared" si="1"/>
        <v>32011000</v>
      </c>
      <c r="F67" s="1134"/>
    </row>
    <row r="68" spans="1:6" ht="13.5">
      <c r="A68" s="1131" t="s">
        <v>1235</v>
      </c>
      <c r="B68" s="1132">
        <v>8</v>
      </c>
      <c r="C68" s="1133">
        <v>0</v>
      </c>
      <c r="D68" s="1133">
        <v>37859000</v>
      </c>
      <c r="E68" s="1133">
        <f t="shared" si="1"/>
        <v>37859000</v>
      </c>
      <c r="F68" s="1134"/>
    </row>
    <row r="69" spans="1:6" ht="13.5">
      <c r="A69" s="1131" t="s">
        <v>1236</v>
      </c>
      <c r="B69" s="1132">
        <v>3</v>
      </c>
      <c r="C69" s="1133">
        <v>1688000</v>
      </c>
      <c r="D69" s="1133">
        <v>13807000</v>
      </c>
      <c r="E69" s="1133">
        <f t="shared" si="1"/>
        <v>15495000</v>
      </c>
      <c r="F69" s="1134"/>
    </row>
    <row r="70" spans="1:6" ht="13.5">
      <c r="A70" s="1131" t="s">
        <v>1237</v>
      </c>
      <c r="B70" s="1132">
        <v>9</v>
      </c>
      <c r="C70" s="1133">
        <v>0</v>
      </c>
      <c r="D70" s="1133">
        <v>41157000</v>
      </c>
      <c r="E70" s="1133">
        <f t="shared" si="1"/>
        <v>41157000</v>
      </c>
      <c r="F70" s="1134"/>
    </row>
    <row r="71" spans="1:6" ht="13.5">
      <c r="A71" s="1131" t="s">
        <v>1238</v>
      </c>
      <c r="B71" s="1132">
        <v>25</v>
      </c>
      <c r="C71" s="1133">
        <v>844000</v>
      </c>
      <c r="D71" s="1133">
        <v>115902000</v>
      </c>
      <c r="E71" s="1133">
        <f t="shared" si="1"/>
        <v>116746000</v>
      </c>
      <c r="F71" s="1134"/>
    </row>
    <row r="72" spans="1:6" ht="13.5">
      <c r="A72" s="1131" t="s">
        <v>1239</v>
      </c>
      <c r="B72" s="1132">
        <v>7</v>
      </c>
      <c r="C72" s="1133">
        <v>1688000</v>
      </c>
      <c r="D72" s="1133">
        <v>32099000</v>
      </c>
      <c r="E72" s="1133">
        <f t="shared" si="1"/>
        <v>33787000</v>
      </c>
      <c r="F72" s="1134"/>
    </row>
    <row r="73" spans="1:6" ht="13.5">
      <c r="A73" s="1131" t="s">
        <v>1240</v>
      </c>
      <c r="B73" s="1132">
        <v>4</v>
      </c>
      <c r="C73" s="1133">
        <v>0</v>
      </c>
      <c r="D73" s="1133">
        <v>18292000</v>
      </c>
      <c r="E73" s="1133">
        <f t="shared" si="1"/>
        <v>18292000</v>
      </c>
      <c r="F73" s="1134"/>
    </row>
    <row r="74" spans="1:6" ht="13.5">
      <c r="A74" s="1131" t="s">
        <v>1450</v>
      </c>
      <c r="B74" s="1132">
        <f>4-1</f>
        <v>3</v>
      </c>
      <c r="C74" s="1133">
        <v>2532000</v>
      </c>
      <c r="D74" s="1133">
        <f>18424000</f>
        <v>18424000</v>
      </c>
      <c r="E74" s="1133">
        <f t="shared" si="1"/>
        <v>20956000</v>
      </c>
      <c r="F74" s="1134"/>
    </row>
    <row r="75" spans="1:6" ht="13.5">
      <c r="A75" s="1131" t="s">
        <v>1241</v>
      </c>
      <c r="B75" s="1132">
        <v>6</v>
      </c>
      <c r="C75" s="1133">
        <v>844000</v>
      </c>
      <c r="D75" s="1133">
        <v>27236000</v>
      </c>
      <c r="E75" s="1133">
        <f t="shared" si="1"/>
        <v>28080000</v>
      </c>
      <c r="F75" s="1134"/>
    </row>
    <row r="76" spans="1:6" ht="13.5">
      <c r="A76" s="1131" t="s">
        <v>1242</v>
      </c>
      <c r="B76" s="1132">
        <v>11</v>
      </c>
      <c r="C76" s="1133">
        <v>0</v>
      </c>
      <c r="D76" s="1133">
        <v>49852000</v>
      </c>
      <c r="E76" s="1133">
        <f t="shared" si="1"/>
        <v>49852000</v>
      </c>
      <c r="F76" s="1134"/>
    </row>
    <row r="77" spans="1:6" ht="13.5">
      <c r="A77" s="1131" t="s">
        <v>1243</v>
      </c>
      <c r="B77" s="1132">
        <v>4</v>
      </c>
      <c r="C77" s="1133">
        <v>0</v>
      </c>
      <c r="D77" s="1133">
        <v>18128000</v>
      </c>
      <c r="E77" s="1133">
        <f t="shared" si="1"/>
        <v>18128000</v>
      </c>
      <c r="F77" s="1134"/>
    </row>
    <row r="78" spans="1:6" ht="13.5">
      <c r="A78" s="1131" t="s">
        <v>1244</v>
      </c>
      <c r="B78" s="1132">
        <v>4</v>
      </c>
      <c r="C78" s="1133">
        <v>0</v>
      </c>
      <c r="D78" s="1133">
        <v>18128000</v>
      </c>
      <c r="E78" s="1133">
        <f t="shared" si="1"/>
        <v>18128000</v>
      </c>
      <c r="F78" s="1134"/>
    </row>
    <row r="79" spans="1:6" ht="13.5">
      <c r="A79" s="1131" t="s">
        <v>1245</v>
      </c>
      <c r="B79" s="1132">
        <v>6</v>
      </c>
      <c r="C79" s="1133">
        <v>0</v>
      </c>
      <c r="D79" s="1133">
        <v>27192000</v>
      </c>
      <c r="E79" s="1133">
        <f t="shared" si="1"/>
        <v>27192000</v>
      </c>
      <c r="F79" s="1134"/>
    </row>
    <row r="80" spans="1:6" ht="13.5">
      <c r="A80" s="1131" t="s">
        <v>1246</v>
      </c>
      <c r="B80" s="1132">
        <v>5</v>
      </c>
      <c r="C80" s="1133">
        <v>0</v>
      </c>
      <c r="D80" s="1133">
        <v>22660000</v>
      </c>
      <c r="E80" s="1133">
        <f t="shared" si="1"/>
        <v>22660000</v>
      </c>
      <c r="F80" s="1134"/>
    </row>
    <row r="81" spans="1:6" ht="13.5">
      <c r="A81" s="1131" t="s">
        <v>1247</v>
      </c>
      <c r="B81" s="1132">
        <v>2</v>
      </c>
      <c r="C81" s="1133">
        <v>0</v>
      </c>
      <c r="D81" s="1133">
        <v>9064000</v>
      </c>
      <c r="E81" s="1133">
        <f t="shared" si="1"/>
        <v>9064000</v>
      </c>
      <c r="F81" s="1134"/>
    </row>
    <row r="82" spans="1:6" ht="13.5">
      <c r="A82" s="1131" t="s">
        <v>1248</v>
      </c>
      <c r="B82" s="1132">
        <v>27</v>
      </c>
      <c r="C82" s="1133">
        <v>1688000</v>
      </c>
      <c r="D82" s="1133">
        <f>122452000-3218670</f>
        <v>119233330</v>
      </c>
      <c r="E82" s="1133">
        <f t="shared" si="1"/>
        <v>120921330</v>
      </c>
      <c r="F82" s="1134"/>
    </row>
    <row r="83" spans="1:6" ht="17.25" customHeight="1">
      <c r="A83" s="1190" t="s">
        <v>1457</v>
      </c>
      <c r="B83" s="1191">
        <f>SUM(B46:B82)</f>
        <v>244</v>
      </c>
      <c r="C83" s="1192">
        <f>SUM(C46:C82)</f>
        <v>16036000</v>
      </c>
      <c r="D83" s="1193">
        <f>SUM(D46:D82)</f>
        <v>1157281330</v>
      </c>
      <c r="E83" s="1197">
        <f t="shared" si="1"/>
        <v>1173317330</v>
      </c>
      <c r="F83" s="1190"/>
    </row>
    <row r="84" spans="1:6" s="1" customFormat="1" ht="21.75" customHeight="1">
      <c r="A84" s="1198" t="s">
        <v>1458</v>
      </c>
      <c r="B84" s="1191">
        <f>SUM(B40+B83)</f>
        <v>498</v>
      </c>
      <c r="C84" s="1192">
        <f>SUM(C40+C83)</f>
        <v>126068000</v>
      </c>
      <c r="D84" s="1193">
        <f>SUM(D40+D83)</f>
        <v>2375738230</v>
      </c>
      <c r="E84" s="1199">
        <f t="shared" si="1"/>
        <v>2501806230</v>
      </c>
      <c r="F84" s="1200"/>
    </row>
  </sheetData>
  <sheetProtection/>
  <mergeCells count="2">
    <mergeCell ref="A1:F1"/>
    <mergeCell ref="A43:F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"/>
  <sheetViews>
    <sheetView zoomScale="90" zoomScaleNormal="90" zoomScalePageLayoutView="0" workbookViewId="0" topLeftCell="A1">
      <selection activeCell="A1" sqref="A1"/>
    </sheetView>
  </sheetViews>
  <sheetFormatPr defaultColWidth="8.88671875" defaultRowHeight="13.5"/>
  <cols>
    <col min="1" max="1" width="8.3359375" style="1202" customWidth="1"/>
    <col min="2" max="2" width="7.77734375" style="1202" customWidth="1"/>
    <col min="3" max="3" width="8.3359375" style="1202" customWidth="1"/>
    <col min="4" max="4" width="9.3359375" style="1202" bestFit="1" customWidth="1"/>
    <col min="5" max="5" width="7.3359375" style="1202" customWidth="1"/>
    <col min="6" max="6" width="7.88671875" style="1202" customWidth="1"/>
    <col min="7" max="8" width="8.3359375" style="1202" customWidth="1"/>
    <col min="9" max="9" width="7.5546875" style="1202" customWidth="1"/>
    <col min="10" max="10" width="7.10546875" style="1202" customWidth="1"/>
    <col min="11" max="11" width="8.3359375" style="1202" customWidth="1"/>
    <col min="12" max="12" width="7.21484375" style="1202" customWidth="1"/>
    <col min="13" max="14" width="8.3359375" style="1202" customWidth="1"/>
    <col min="15" max="16384" width="8.88671875" style="1202" customWidth="1"/>
  </cols>
  <sheetData>
    <row r="1" ht="13.5">
      <c r="A1" s="1202" t="s">
        <v>1459</v>
      </c>
    </row>
    <row r="2" spans="1:14" ht="31.5">
      <c r="A2" s="1530" t="s">
        <v>1460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</row>
    <row r="3" spans="1:14" ht="17.25" customHeight="1">
      <c r="A3" s="1203"/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</row>
    <row r="4" spans="1:14" ht="23.25" customHeight="1">
      <c r="A4" s="1204" t="s">
        <v>1461</v>
      </c>
      <c r="N4" s="1205" t="s">
        <v>1462</v>
      </c>
    </row>
    <row r="5" spans="1:14" s="1204" customFormat="1" ht="18" customHeight="1">
      <c r="A5" s="1529" t="s">
        <v>1463</v>
      </c>
      <c r="B5" s="1529" t="s">
        <v>1464</v>
      </c>
      <c r="C5" s="1529" t="s">
        <v>1465</v>
      </c>
      <c r="D5" s="1529" t="s">
        <v>1466</v>
      </c>
      <c r="E5" s="1529" t="s">
        <v>1467</v>
      </c>
      <c r="F5" s="1529" t="s">
        <v>1468</v>
      </c>
      <c r="G5" s="1529" t="s">
        <v>1469</v>
      </c>
      <c r="H5" s="1529"/>
      <c r="I5" s="1529" t="s">
        <v>1470</v>
      </c>
      <c r="J5" s="1529" t="s">
        <v>1471</v>
      </c>
      <c r="K5" s="1529" t="s">
        <v>1472</v>
      </c>
      <c r="L5" s="1529" t="s">
        <v>1473</v>
      </c>
      <c r="M5" s="1529" t="s">
        <v>1474</v>
      </c>
      <c r="N5" s="1529" t="s">
        <v>1475</v>
      </c>
    </row>
    <row r="6" spans="1:14" s="1204" customFormat="1" ht="18" customHeight="1">
      <c r="A6" s="1529"/>
      <c r="B6" s="1529"/>
      <c r="C6" s="1529"/>
      <c r="D6" s="1529"/>
      <c r="E6" s="1529"/>
      <c r="F6" s="1529"/>
      <c r="G6" s="1206" t="s">
        <v>1476</v>
      </c>
      <c r="H6" s="1206" t="s">
        <v>1477</v>
      </c>
      <c r="I6" s="1529"/>
      <c r="J6" s="1529"/>
      <c r="K6" s="1529"/>
      <c r="L6" s="1529"/>
      <c r="M6" s="1529"/>
      <c r="N6" s="1529"/>
    </row>
    <row r="7" spans="1:14" s="1211" customFormat="1" ht="18" customHeight="1">
      <c r="A7" s="1527" t="s">
        <v>1478</v>
      </c>
      <c r="B7" s="1527" t="s">
        <v>1479</v>
      </c>
      <c r="C7" s="1207" t="s">
        <v>1480</v>
      </c>
      <c r="D7" s="1208"/>
      <c r="E7" s="1208"/>
      <c r="F7" s="1208"/>
      <c r="G7" s="1208">
        <v>40</v>
      </c>
      <c r="H7" s="1209">
        <v>40</v>
      </c>
      <c r="I7" s="1208"/>
      <c r="J7" s="1208"/>
      <c r="K7" s="1210"/>
      <c r="L7" s="1210"/>
      <c r="M7" s="1210">
        <v>147</v>
      </c>
      <c r="N7" s="1210">
        <f aca="true" t="shared" si="0" ref="N7:N24">SUM(D7:M7)</f>
        <v>227</v>
      </c>
    </row>
    <row r="8" spans="1:14" s="1211" customFormat="1" ht="18" customHeight="1">
      <c r="A8" s="1527"/>
      <c r="B8" s="1527"/>
      <c r="C8" s="1207" t="s">
        <v>1481</v>
      </c>
      <c r="D8" s="1208"/>
      <c r="E8" s="1208"/>
      <c r="F8" s="1208"/>
      <c r="G8" s="1208">
        <f>(50+47)/2</f>
        <v>48.5</v>
      </c>
      <c r="H8" s="1208">
        <f>(45+45)/2</f>
        <v>45</v>
      </c>
      <c r="I8" s="1208"/>
      <c r="J8" s="1208"/>
      <c r="K8" s="1210"/>
      <c r="L8" s="1210"/>
      <c r="M8" s="1210">
        <f>(37+73+39+75)/2</f>
        <v>112</v>
      </c>
      <c r="N8" s="1210">
        <f t="shared" si="0"/>
        <v>205.5</v>
      </c>
    </row>
    <row r="9" spans="1:14" s="1211" customFormat="1" ht="18" customHeight="1">
      <c r="A9" s="1527"/>
      <c r="B9" s="1527" t="s">
        <v>996</v>
      </c>
      <c r="C9" s="1207" t="s">
        <v>663</v>
      </c>
      <c r="D9" s="1208"/>
      <c r="E9" s="1208"/>
      <c r="F9" s="1208"/>
      <c r="G9" s="1208">
        <v>40</v>
      </c>
      <c r="H9" s="1208">
        <v>40</v>
      </c>
      <c r="I9" s="1208"/>
      <c r="J9" s="1208"/>
      <c r="K9" s="1210"/>
      <c r="L9" s="1210"/>
      <c r="M9" s="1210">
        <v>147</v>
      </c>
      <c r="N9" s="1210">
        <f t="shared" si="0"/>
        <v>227</v>
      </c>
    </row>
    <row r="10" spans="1:14" s="1211" customFormat="1" ht="18" customHeight="1">
      <c r="A10" s="1527"/>
      <c r="B10" s="1527"/>
      <c r="C10" s="1207" t="s">
        <v>664</v>
      </c>
      <c r="D10" s="1208"/>
      <c r="E10" s="1208"/>
      <c r="F10" s="1208"/>
      <c r="G10" s="1208">
        <f>(54+51)/2</f>
        <v>52.5</v>
      </c>
      <c r="H10" s="1208">
        <v>46</v>
      </c>
      <c r="I10" s="1208"/>
      <c r="J10" s="1208"/>
      <c r="K10" s="1210"/>
      <c r="L10" s="1210"/>
      <c r="M10" s="1210">
        <f>(39+65+38+64)/2</f>
        <v>103</v>
      </c>
      <c r="N10" s="1210">
        <f t="shared" si="0"/>
        <v>201.5</v>
      </c>
    </row>
    <row r="11" spans="1:14" s="1211" customFormat="1" ht="18" customHeight="1">
      <c r="A11" s="1527"/>
      <c r="B11" s="1527" t="s">
        <v>1482</v>
      </c>
      <c r="C11" s="1207" t="s">
        <v>1483</v>
      </c>
      <c r="D11" s="1208"/>
      <c r="E11" s="1208"/>
      <c r="F11" s="1208"/>
      <c r="G11" s="1208">
        <v>0</v>
      </c>
      <c r="H11" s="1208">
        <v>40</v>
      </c>
      <c r="I11" s="1208"/>
      <c r="J11" s="1208"/>
      <c r="K11" s="1210"/>
      <c r="L11" s="1210"/>
      <c r="M11" s="1210">
        <v>107</v>
      </c>
      <c r="N11" s="1210">
        <f t="shared" si="0"/>
        <v>147</v>
      </c>
    </row>
    <row r="12" spans="1:14" s="1211" customFormat="1" ht="18" customHeight="1">
      <c r="A12" s="1527"/>
      <c r="B12" s="1527"/>
      <c r="C12" s="1207" t="s">
        <v>1484</v>
      </c>
      <c r="D12" s="1208"/>
      <c r="E12" s="1208"/>
      <c r="F12" s="1208"/>
      <c r="G12" s="1208">
        <v>0</v>
      </c>
      <c r="H12" s="1208">
        <f>(44+44)/2</f>
        <v>44</v>
      </c>
      <c r="I12" s="1208"/>
      <c r="J12" s="1208"/>
      <c r="K12" s="1210"/>
      <c r="L12" s="1210"/>
      <c r="M12" s="1210">
        <f>(46+68+46+70)/2</f>
        <v>115</v>
      </c>
      <c r="N12" s="1210">
        <f t="shared" si="0"/>
        <v>159</v>
      </c>
    </row>
    <row r="13" spans="1:14" s="1211" customFormat="1" ht="18" customHeight="1">
      <c r="A13" s="1527"/>
      <c r="B13" s="1527" t="s">
        <v>1485</v>
      </c>
      <c r="C13" s="1207" t="s">
        <v>1486</v>
      </c>
      <c r="D13" s="1208"/>
      <c r="E13" s="1208"/>
      <c r="F13" s="1208"/>
      <c r="G13" s="1208">
        <v>0</v>
      </c>
      <c r="H13" s="1208">
        <v>40</v>
      </c>
      <c r="I13" s="1208"/>
      <c r="J13" s="1208"/>
      <c r="K13" s="1210"/>
      <c r="L13" s="1210"/>
      <c r="M13" s="1210">
        <v>107</v>
      </c>
      <c r="N13" s="1210">
        <f t="shared" si="0"/>
        <v>147</v>
      </c>
    </row>
    <row r="14" spans="1:14" s="1211" customFormat="1" ht="18" customHeight="1">
      <c r="A14" s="1527"/>
      <c r="B14" s="1527"/>
      <c r="C14" s="1207" t="s">
        <v>1487</v>
      </c>
      <c r="D14" s="1208"/>
      <c r="E14" s="1208"/>
      <c r="F14" s="1208"/>
      <c r="G14" s="1208">
        <v>0</v>
      </c>
      <c r="H14" s="1208">
        <v>49</v>
      </c>
      <c r="I14" s="1208"/>
      <c r="J14" s="1208"/>
      <c r="K14" s="1210"/>
      <c r="L14" s="1210"/>
      <c r="M14" s="1210">
        <f>(39+101+41+102)/2</f>
        <v>141.5</v>
      </c>
      <c r="N14" s="1210">
        <f t="shared" si="0"/>
        <v>190.5</v>
      </c>
    </row>
    <row r="15" spans="1:14" s="1211" customFormat="1" ht="18" customHeight="1">
      <c r="A15" s="1527"/>
      <c r="B15" s="1527" t="s">
        <v>1488</v>
      </c>
      <c r="C15" s="1207" t="s">
        <v>1486</v>
      </c>
      <c r="D15" s="1210"/>
      <c r="E15" s="1210"/>
      <c r="F15" s="1210"/>
      <c r="G15" s="1210">
        <f>+G7+G9+G11+G13</f>
        <v>80</v>
      </c>
      <c r="H15" s="1210">
        <f>+H7+H9+H11+H13</f>
        <v>160</v>
      </c>
      <c r="I15" s="1210"/>
      <c r="J15" s="1210"/>
      <c r="K15" s="1210"/>
      <c r="L15" s="1210"/>
      <c r="M15" s="1210">
        <f>M7+M9+M11+M13</f>
        <v>508</v>
      </c>
      <c r="N15" s="1210">
        <f t="shared" si="0"/>
        <v>748</v>
      </c>
    </row>
    <row r="16" spans="1:14" s="1211" customFormat="1" ht="18" customHeight="1">
      <c r="A16" s="1527"/>
      <c r="B16" s="1527"/>
      <c r="C16" s="1207" t="s">
        <v>1487</v>
      </c>
      <c r="D16" s="1210">
        <f>+D8+D10+D12+D14</f>
        <v>0</v>
      </c>
      <c r="E16" s="1210"/>
      <c r="F16" s="1210"/>
      <c r="G16" s="1210">
        <f>+G8+G10</f>
        <v>101</v>
      </c>
      <c r="H16" s="1210">
        <f>+H8+H10+H12+H14</f>
        <v>184</v>
      </c>
      <c r="I16" s="1210"/>
      <c r="J16" s="1210"/>
      <c r="K16" s="1210"/>
      <c r="L16" s="1210"/>
      <c r="M16" s="1210">
        <f>M8+M10+M12+M14</f>
        <v>471.5</v>
      </c>
      <c r="N16" s="1210">
        <f>SUM(D16:M16)</f>
        <v>756.5</v>
      </c>
    </row>
    <row r="17" spans="1:14" s="1211" customFormat="1" ht="18" customHeight="1">
      <c r="A17" s="1527" t="s">
        <v>1489</v>
      </c>
      <c r="B17" s="1528" t="s">
        <v>1490</v>
      </c>
      <c r="C17" s="1207" t="s">
        <v>1486</v>
      </c>
      <c r="D17" s="1210">
        <v>14</v>
      </c>
      <c r="E17" s="1210"/>
      <c r="F17" s="1210"/>
      <c r="G17" s="1210"/>
      <c r="H17" s="1210">
        <v>18</v>
      </c>
      <c r="I17" s="1210"/>
      <c r="J17" s="1210"/>
      <c r="K17" s="1210"/>
      <c r="L17" s="1210"/>
      <c r="M17" s="1210">
        <v>70</v>
      </c>
      <c r="N17" s="1210">
        <f t="shared" si="0"/>
        <v>102</v>
      </c>
    </row>
    <row r="18" spans="1:14" s="1211" customFormat="1" ht="18" customHeight="1">
      <c r="A18" s="1527"/>
      <c r="B18" s="1528"/>
      <c r="C18" s="1207" t="s">
        <v>1487</v>
      </c>
      <c r="D18" s="1210">
        <f>(10+7)/2</f>
        <v>8.5</v>
      </c>
      <c r="E18" s="1210"/>
      <c r="F18" s="1210"/>
      <c r="G18" s="1210"/>
      <c r="H18" s="1210">
        <f>(30+35)/2</f>
        <v>32.5</v>
      </c>
      <c r="I18" s="1210"/>
      <c r="J18" s="1210"/>
      <c r="K18" s="1210"/>
      <c r="L18" s="1210"/>
      <c r="M18" s="1212">
        <f>(145+137)/2</f>
        <v>141</v>
      </c>
      <c r="N18" s="1210">
        <f t="shared" si="0"/>
        <v>182</v>
      </c>
    </row>
    <row r="19" spans="1:14" s="1211" customFormat="1" ht="18" customHeight="1">
      <c r="A19" s="1527"/>
      <c r="B19" s="1528" t="s">
        <v>1491</v>
      </c>
      <c r="C19" s="1207" t="s">
        <v>1486</v>
      </c>
      <c r="D19" s="1210"/>
      <c r="E19" s="1210"/>
      <c r="F19" s="1210"/>
      <c r="G19" s="1210"/>
      <c r="H19" s="1210"/>
      <c r="I19" s="1210"/>
      <c r="J19" s="1210"/>
      <c r="K19" s="1210"/>
      <c r="L19" s="1210"/>
      <c r="M19" s="1210">
        <v>20</v>
      </c>
      <c r="N19" s="1210">
        <f t="shared" si="0"/>
        <v>20</v>
      </c>
    </row>
    <row r="20" spans="1:14" s="1211" customFormat="1" ht="18" customHeight="1">
      <c r="A20" s="1527"/>
      <c r="B20" s="1528"/>
      <c r="C20" s="1207" t="s">
        <v>1487</v>
      </c>
      <c r="D20" s="1210"/>
      <c r="E20" s="1210"/>
      <c r="F20" s="1210"/>
      <c r="G20" s="1210"/>
      <c r="H20" s="1212"/>
      <c r="I20" s="1210"/>
      <c r="J20" s="1210"/>
      <c r="K20" s="1210"/>
      <c r="L20" s="1210"/>
      <c r="M20" s="1210">
        <f>(35+31)/2</f>
        <v>33</v>
      </c>
      <c r="N20" s="1210">
        <f t="shared" si="0"/>
        <v>33</v>
      </c>
    </row>
    <row r="21" spans="1:14" s="1211" customFormat="1" ht="18" customHeight="1">
      <c r="A21" s="1527"/>
      <c r="B21" s="1528" t="s">
        <v>1492</v>
      </c>
      <c r="C21" s="1207" t="s">
        <v>1486</v>
      </c>
      <c r="D21" s="1210"/>
      <c r="E21" s="1210"/>
      <c r="F21" s="1210"/>
      <c r="G21" s="1210"/>
      <c r="H21" s="1210"/>
      <c r="I21" s="1210"/>
      <c r="J21" s="1210"/>
      <c r="K21" s="1210"/>
      <c r="L21" s="1210"/>
      <c r="M21" s="1210">
        <v>15</v>
      </c>
      <c r="N21" s="1210">
        <f t="shared" si="0"/>
        <v>15</v>
      </c>
    </row>
    <row r="22" spans="1:14" s="1211" customFormat="1" ht="18" customHeight="1">
      <c r="A22" s="1527"/>
      <c r="B22" s="1528"/>
      <c r="C22" s="1207" t="s">
        <v>1487</v>
      </c>
      <c r="D22" s="1210"/>
      <c r="E22" s="1210"/>
      <c r="F22" s="1210"/>
      <c r="G22" s="1210"/>
      <c r="H22" s="1210"/>
      <c r="I22" s="1210"/>
      <c r="J22" s="1210"/>
      <c r="K22" s="1210"/>
      <c r="L22" s="1210"/>
      <c r="M22" s="1210">
        <f>(34+34)/2</f>
        <v>34</v>
      </c>
      <c r="N22" s="1210">
        <f t="shared" si="0"/>
        <v>34</v>
      </c>
    </row>
    <row r="23" spans="1:14" s="1211" customFormat="1" ht="18" customHeight="1">
      <c r="A23" s="1527"/>
      <c r="B23" s="1528" t="s">
        <v>1488</v>
      </c>
      <c r="C23" s="1207" t="s">
        <v>1486</v>
      </c>
      <c r="D23" s="1213">
        <f>SUM(D17)</f>
        <v>14</v>
      </c>
      <c r="E23" s="1213"/>
      <c r="F23" s="1213"/>
      <c r="G23" s="1213"/>
      <c r="H23" s="1213">
        <f aca="true" t="shared" si="1" ref="H23:M24">SUM(H17,H19,H21)</f>
        <v>18</v>
      </c>
      <c r="I23" s="1213">
        <f t="shared" si="1"/>
        <v>0</v>
      </c>
      <c r="J23" s="1213">
        <f t="shared" si="1"/>
        <v>0</v>
      </c>
      <c r="K23" s="1213">
        <f t="shared" si="1"/>
        <v>0</v>
      </c>
      <c r="L23" s="1213">
        <f t="shared" si="1"/>
        <v>0</v>
      </c>
      <c r="M23" s="1213">
        <f t="shared" si="1"/>
        <v>105</v>
      </c>
      <c r="N23" s="1213">
        <f t="shared" si="0"/>
        <v>137</v>
      </c>
    </row>
    <row r="24" spans="1:14" s="1211" customFormat="1" ht="18" customHeight="1">
      <c r="A24" s="1527"/>
      <c r="B24" s="1528"/>
      <c r="C24" s="1207" t="s">
        <v>1487</v>
      </c>
      <c r="D24" s="1213">
        <f>SUM(D18)</f>
        <v>8.5</v>
      </c>
      <c r="E24" s="1213"/>
      <c r="F24" s="1213"/>
      <c r="G24" s="1213"/>
      <c r="H24" s="1213">
        <f t="shared" si="1"/>
        <v>32.5</v>
      </c>
      <c r="I24" s="1213">
        <f t="shared" si="1"/>
        <v>0</v>
      </c>
      <c r="J24" s="1213">
        <f t="shared" si="1"/>
        <v>0</v>
      </c>
      <c r="K24" s="1213">
        <f t="shared" si="1"/>
        <v>0</v>
      </c>
      <c r="L24" s="1213">
        <f t="shared" si="1"/>
        <v>0</v>
      </c>
      <c r="M24" s="1213">
        <f t="shared" si="1"/>
        <v>208</v>
      </c>
      <c r="N24" s="1213">
        <f t="shared" si="0"/>
        <v>249</v>
      </c>
    </row>
    <row r="25" spans="1:14" s="1211" customFormat="1" ht="18" customHeight="1">
      <c r="A25" s="1527" t="s">
        <v>665</v>
      </c>
      <c r="B25" s="1527"/>
      <c r="C25" s="1207" t="s">
        <v>663</v>
      </c>
      <c r="D25" s="1210">
        <f>+D15</f>
        <v>0</v>
      </c>
      <c r="E25" s="1210">
        <f>+E15+E23</f>
        <v>0</v>
      </c>
      <c r="F25" s="1210">
        <f>+F15+F23</f>
        <v>0</v>
      </c>
      <c r="G25" s="1210">
        <f>+G15</f>
        <v>80</v>
      </c>
      <c r="H25" s="1210">
        <f aca="true" t="shared" si="2" ref="H25:J26">+H15+H23</f>
        <v>178</v>
      </c>
      <c r="I25" s="1210">
        <f t="shared" si="2"/>
        <v>0</v>
      </c>
      <c r="J25" s="1210">
        <f t="shared" si="2"/>
        <v>0</v>
      </c>
      <c r="K25" s="1210"/>
      <c r="L25" s="1210"/>
      <c r="M25" s="1210">
        <f>M7+M9+M11+M13</f>
        <v>508</v>
      </c>
      <c r="N25" s="1210">
        <f>SUM(N15+N23)</f>
        <v>885</v>
      </c>
    </row>
    <row r="26" spans="1:14" s="1211" customFormat="1" ht="18" customHeight="1">
      <c r="A26" s="1527"/>
      <c r="B26" s="1527"/>
      <c r="C26" s="1207" t="s">
        <v>1487</v>
      </c>
      <c r="D26" s="1210">
        <f>+D16</f>
        <v>0</v>
      </c>
      <c r="E26" s="1210">
        <f>+E16+E24</f>
        <v>0</v>
      </c>
      <c r="F26" s="1210">
        <f>+F16+F24</f>
        <v>0</v>
      </c>
      <c r="G26" s="1210">
        <f>+G16</f>
        <v>101</v>
      </c>
      <c r="H26" s="1210">
        <f t="shared" si="2"/>
        <v>216.5</v>
      </c>
      <c r="I26" s="1210">
        <f t="shared" si="2"/>
        <v>0</v>
      </c>
      <c r="J26" s="1210">
        <f t="shared" si="2"/>
        <v>0</v>
      </c>
      <c r="K26" s="1210"/>
      <c r="L26" s="1210"/>
      <c r="M26" s="1210">
        <f>M8+M10+M12+M14</f>
        <v>471.5</v>
      </c>
      <c r="N26" s="1210">
        <f>SUM(N16+N24)</f>
        <v>1005.5</v>
      </c>
    </row>
    <row r="27" s="1214" customFormat="1" ht="13.5"/>
    <row r="28" s="1214" customFormat="1" ht="13.5"/>
  </sheetData>
  <sheetProtection/>
  <mergeCells count="26">
    <mergeCell ref="A2:N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A7:A16"/>
    <mergeCell ref="B7:B8"/>
    <mergeCell ref="B9:B10"/>
    <mergeCell ref="B11:B12"/>
    <mergeCell ref="B13:B14"/>
    <mergeCell ref="B15:B16"/>
    <mergeCell ref="A17:A24"/>
    <mergeCell ref="B17:B18"/>
    <mergeCell ref="B19:B20"/>
    <mergeCell ref="B21:B22"/>
    <mergeCell ref="B23:B24"/>
    <mergeCell ref="A25:B26"/>
  </mergeCells>
  <printOptions/>
  <pageMargins left="0.62" right="0.25" top="0.74" bottom="0.52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L132"/>
  <sheetViews>
    <sheetView showGridLines="0" zoomScale="50" zoomScaleNormal="50" zoomScalePageLayoutView="0" workbookViewId="0" topLeftCell="A1">
      <selection activeCell="A1" sqref="A1"/>
    </sheetView>
  </sheetViews>
  <sheetFormatPr defaultColWidth="8.88671875" defaultRowHeight="13.5"/>
  <sheetData>
    <row r="1" spans="1:12" ht="31.5">
      <c r="A1" s="39" t="s">
        <v>176</v>
      </c>
      <c r="B1" s="39"/>
      <c r="C1" s="39"/>
      <c r="D1" s="39"/>
      <c r="E1" s="39"/>
      <c r="F1" s="39"/>
      <c r="G1" s="39"/>
      <c r="H1" s="39"/>
      <c r="I1" s="40"/>
      <c r="J1" s="40"/>
      <c r="K1" s="40"/>
      <c r="L1" s="40"/>
    </row>
    <row r="23" spans="1:12" ht="31.5">
      <c r="A23" s="39" t="s">
        <v>177</v>
      </c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40"/>
    </row>
    <row r="45" spans="1:12" ht="31.5">
      <c r="A45" s="39" t="s">
        <v>178</v>
      </c>
      <c r="B45" s="39"/>
      <c r="C45" s="39"/>
      <c r="D45" s="39"/>
      <c r="E45" s="39"/>
      <c r="F45" s="39"/>
      <c r="G45" s="39"/>
      <c r="H45" s="39"/>
      <c r="I45" s="40"/>
      <c r="J45" s="40"/>
      <c r="K45" s="40"/>
      <c r="L45" s="40"/>
    </row>
    <row r="46" spans="1:12" ht="31.5">
      <c r="A46" s="39" t="s">
        <v>120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66" spans="1:12" ht="31.5">
      <c r="A66" s="39" t="s">
        <v>145</v>
      </c>
      <c r="B66" s="39"/>
      <c r="C66" s="39"/>
      <c r="D66" s="39"/>
      <c r="E66" s="39"/>
      <c r="F66" s="39"/>
      <c r="G66" s="39"/>
      <c r="H66" s="39"/>
      <c r="I66" s="40"/>
      <c r="J66" s="40"/>
      <c r="K66" s="40"/>
      <c r="L66" s="40"/>
    </row>
    <row r="88" spans="1:12" ht="31.5">
      <c r="A88" s="39" t="s">
        <v>146</v>
      </c>
      <c r="B88" s="39"/>
      <c r="C88" s="39"/>
      <c r="D88" s="39"/>
      <c r="E88" s="39"/>
      <c r="F88" s="39"/>
      <c r="G88" s="39"/>
      <c r="H88" s="39"/>
      <c r="I88" s="40"/>
      <c r="J88" s="40"/>
      <c r="K88" s="40"/>
      <c r="L88" s="40"/>
    </row>
    <row r="110" spans="1:12" ht="31.5">
      <c r="A110" s="39" t="s">
        <v>157</v>
      </c>
      <c r="B110" s="39"/>
      <c r="C110" s="39"/>
      <c r="D110" s="39"/>
      <c r="E110" s="39"/>
      <c r="F110" s="39"/>
      <c r="G110" s="39"/>
      <c r="H110" s="39"/>
      <c r="I110" s="40"/>
      <c r="J110" s="40"/>
      <c r="K110" s="40"/>
      <c r="L110" s="40"/>
    </row>
    <row r="132" spans="1:12" ht="31.5">
      <c r="A132" s="39" t="s">
        <v>413</v>
      </c>
      <c r="B132" s="39"/>
      <c r="C132" s="39"/>
      <c r="D132" s="39"/>
      <c r="E132" s="39"/>
      <c r="F132" s="39"/>
      <c r="G132" s="39"/>
      <c r="H132" s="39"/>
      <c r="I132" s="40"/>
      <c r="J132" s="40"/>
      <c r="K132" s="40"/>
      <c r="L132" s="40"/>
    </row>
  </sheetData>
  <sheetProtection/>
  <printOptions/>
  <pageMargins left="1.14" right="0.75" top="2.76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3359375" style="355" customWidth="1"/>
    <col min="2" max="2" width="8.99609375" style="355" customWidth="1"/>
    <col min="3" max="3" width="8.3359375" style="355" customWidth="1"/>
    <col min="4" max="4" width="10.3359375" style="355" customWidth="1"/>
    <col min="5" max="14" width="8.3359375" style="355" customWidth="1"/>
    <col min="15" max="16384" width="8.88671875" style="355" customWidth="1"/>
  </cols>
  <sheetData>
    <row r="1" ht="13.5">
      <c r="A1" s="829" t="s">
        <v>973</v>
      </c>
    </row>
    <row r="2" spans="1:14" ht="31.5">
      <c r="A2" s="1540" t="s">
        <v>974</v>
      </c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</row>
    <row r="3" spans="1:14" ht="17.25" customHeight="1">
      <c r="A3" s="830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</row>
    <row r="4" spans="1:14" ht="23.25" customHeight="1">
      <c r="A4" s="831" t="s">
        <v>975</v>
      </c>
      <c r="N4" s="832" t="s">
        <v>976</v>
      </c>
    </row>
    <row r="5" spans="1:14" s="356" customFormat="1" ht="18" customHeight="1">
      <c r="A5" s="1541" t="s">
        <v>977</v>
      </c>
      <c r="B5" s="1536" t="s">
        <v>978</v>
      </c>
      <c r="C5" s="1536" t="s">
        <v>979</v>
      </c>
      <c r="D5" s="1536" t="s">
        <v>980</v>
      </c>
      <c r="E5" s="1536" t="s">
        <v>981</v>
      </c>
      <c r="F5" s="1536" t="s">
        <v>982</v>
      </c>
      <c r="G5" s="1536" t="s">
        <v>983</v>
      </c>
      <c r="H5" s="1536"/>
      <c r="I5" s="1536" t="s">
        <v>984</v>
      </c>
      <c r="J5" s="1536" t="s">
        <v>985</v>
      </c>
      <c r="K5" s="1536" t="s">
        <v>986</v>
      </c>
      <c r="L5" s="1536" t="s">
        <v>987</v>
      </c>
      <c r="M5" s="1536" t="s">
        <v>988</v>
      </c>
      <c r="N5" s="1538" t="s">
        <v>989</v>
      </c>
    </row>
    <row r="6" spans="1:14" s="356" customFormat="1" ht="18" customHeight="1">
      <c r="A6" s="1542"/>
      <c r="B6" s="1537"/>
      <c r="C6" s="1537"/>
      <c r="D6" s="1537"/>
      <c r="E6" s="1537"/>
      <c r="F6" s="1537"/>
      <c r="G6" s="833" t="s">
        <v>990</v>
      </c>
      <c r="H6" s="833" t="s">
        <v>991</v>
      </c>
      <c r="I6" s="1537"/>
      <c r="J6" s="1537"/>
      <c r="K6" s="1537"/>
      <c r="L6" s="1537"/>
      <c r="M6" s="1537"/>
      <c r="N6" s="1539"/>
    </row>
    <row r="7" spans="1:14" s="357" customFormat="1" ht="18" customHeight="1">
      <c r="A7" s="1531" t="s">
        <v>992</v>
      </c>
      <c r="B7" s="1533" t="s">
        <v>993</v>
      </c>
      <c r="C7" s="834" t="s">
        <v>994</v>
      </c>
      <c r="D7" s="835">
        <v>191</v>
      </c>
      <c r="E7" s="835">
        <v>781</v>
      </c>
      <c r="F7" s="835"/>
      <c r="G7" s="835">
        <v>0</v>
      </c>
      <c r="H7" s="835">
        <v>0</v>
      </c>
      <c r="I7" s="835">
        <v>0</v>
      </c>
      <c r="J7" s="835">
        <v>0</v>
      </c>
      <c r="K7" s="836"/>
      <c r="L7" s="836"/>
      <c r="M7" s="836"/>
      <c r="N7" s="837">
        <f>SUM(D7:M7)</f>
        <v>972</v>
      </c>
    </row>
    <row r="8" spans="1:14" s="357" customFormat="1" ht="18" customHeight="1">
      <c r="A8" s="1531"/>
      <c r="B8" s="1533"/>
      <c r="C8" s="834" t="s">
        <v>995</v>
      </c>
      <c r="D8" s="835">
        <v>196</v>
      </c>
      <c r="E8" s="835">
        <v>822</v>
      </c>
      <c r="F8" s="835"/>
      <c r="G8" s="835">
        <v>0</v>
      </c>
      <c r="H8" s="835">
        <v>0</v>
      </c>
      <c r="I8" s="835">
        <v>0</v>
      </c>
      <c r="J8" s="835">
        <v>0</v>
      </c>
      <c r="K8" s="836"/>
      <c r="L8" s="836"/>
      <c r="M8" s="836"/>
      <c r="N8" s="837">
        <f aca="true" t="shared" si="0" ref="N8:N16">SUM(D8:M8)</f>
        <v>1018</v>
      </c>
    </row>
    <row r="9" spans="1:14" s="357" customFormat="1" ht="18" customHeight="1">
      <c r="A9" s="1531"/>
      <c r="B9" s="1533" t="s">
        <v>996</v>
      </c>
      <c r="C9" s="834" t="s">
        <v>994</v>
      </c>
      <c r="D9" s="835">
        <v>200</v>
      </c>
      <c r="E9" s="835">
        <v>797</v>
      </c>
      <c r="F9" s="835"/>
      <c r="G9" s="835">
        <v>0</v>
      </c>
      <c r="H9" s="835">
        <v>0</v>
      </c>
      <c r="I9" s="835">
        <v>0</v>
      </c>
      <c r="J9" s="835">
        <v>0</v>
      </c>
      <c r="K9" s="836"/>
      <c r="L9" s="836"/>
      <c r="M9" s="836"/>
      <c r="N9" s="837">
        <f t="shared" si="0"/>
        <v>997</v>
      </c>
    </row>
    <row r="10" spans="1:14" s="357" customFormat="1" ht="18" customHeight="1">
      <c r="A10" s="1531"/>
      <c r="B10" s="1533"/>
      <c r="C10" s="834" t="s">
        <v>995</v>
      </c>
      <c r="D10" s="835">
        <v>212</v>
      </c>
      <c r="E10" s="835">
        <v>831</v>
      </c>
      <c r="F10" s="835"/>
      <c r="G10" s="835">
        <v>0</v>
      </c>
      <c r="H10" s="835">
        <v>0</v>
      </c>
      <c r="I10" s="835">
        <v>0</v>
      </c>
      <c r="J10" s="835">
        <v>0</v>
      </c>
      <c r="K10" s="836"/>
      <c r="L10" s="836"/>
      <c r="M10" s="836"/>
      <c r="N10" s="837">
        <f t="shared" si="0"/>
        <v>1043</v>
      </c>
    </row>
    <row r="11" spans="1:14" s="357" customFormat="1" ht="18" customHeight="1">
      <c r="A11" s="1531"/>
      <c r="B11" s="1533" t="s">
        <v>997</v>
      </c>
      <c r="C11" s="834" t="s">
        <v>994</v>
      </c>
      <c r="D11" s="835">
        <v>200</v>
      </c>
      <c r="E11" s="835">
        <v>797</v>
      </c>
      <c r="F11" s="835"/>
      <c r="G11" s="835">
        <v>0</v>
      </c>
      <c r="H11" s="835">
        <v>0</v>
      </c>
      <c r="I11" s="835">
        <v>0</v>
      </c>
      <c r="J11" s="835">
        <v>0</v>
      </c>
      <c r="K11" s="836"/>
      <c r="L11" s="836"/>
      <c r="M11" s="836"/>
      <c r="N11" s="837">
        <f t="shared" si="0"/>
        <v>997</v>
      </c>
    </row>
    <row r="12" spans="1:14" s="357" customFormat="1" ht="18" customHeight="1">
      <c r="A12" s="1531"/>
      <c r="B12" s="1533"/>
      <c r="C12" s="834" t="s">
        <v>995</v>
      </c>
      <c r="D12" s="835">
        <v>232</v>
      </c>
      <c r="E12" s="835">
        <v>905</v>
      </c>
      <c r="F12" s="835"/>
      <c r="G12" s="835">
        <v>0</v>
      </c>
      <c r="H12" s="835">
        <v>0</v>
      </c>
      <c r="I12" s="835">
        <v>0</v>
      </c>
      <c r="J12" s="835">
        <v>0</v>
      </c>
      <c r="K12" s="836"/>
      <c r="L12" s="836"/>
      <c r="M12" s="836"/>
      <c r="N12" s="837">
        <f t="shared" si="0"/>
        <v>1137</v>
      </c>
    </row>
    <row r="13" spans="1:14" s="357" customFormat="1" ht="18" customHeight="1">
      <c r="A13" s="1531"/>
      <c r="B13" s="1533" t="s">
        <v>998</v>
      </c>
      <c r="C13" s="834" t="s">
        <v>994</v>
      </c>
      <c r="D13" s="835">
        <v>200</v>
      </c>
      <c r="E13" s="835">
        <v>797</v>
      </c>
      <c r="F13" s="835"/>
      <c r="G13" s="835">
        <v>0</v>
      </c>
      <c r="H13" s="835">
        <v>0</v>
      </c>
      <c r="I13" s="835">
        <v>0</v>
      </c>
      <c r="J13" s="835">
        <v>0</v>
      </c>
      <c r="K13" s="836"/>
      <c r="L13" s="836"/>
      <c r="M13" s="836"/>
      <c r="N13" s="837">
        <f t="shared" si="0"/>
        <v>997</v>
      </c>
    </row>
    <row r="14" spans="1:14" s="357" customFormat="1" ht="18" customHeight="1">
      <c r="A14" s="1531"/>
      <c r="B14" s="1533"/>
      <c r="C14" s="834" t="s">
        <v>995</v>
      </c>
      <c r="D14" s="835">
        <v>195</v>
      </c>
      <c r="E14" s="835">
        <v>960</v>
      </c>
      <c r="F14" s="835"/>
      <c r="G14" s="835">
        <v>0</v>
      </c>
      <c r="H14" s="835">
        <v>0</v>
      </c>
      <c r="I14" s="835">
        <v>0</v>
      </c>
      <c r="J14" s="835">
        <v>0</v>
      </c>
      <c r="K14" s="836"/>
      <c r="L14" s="836"/>
      <c r="M14" s="836"/>
      <c r="N14" s="837">
        <f t="shared" si="0"/>
        <v>1155</v>
      </c>
    </row>
    <row r="15" spans="1:14" s="357" customFormat="1" ht="18" customHeight="1">
      <c r="A15" s="1531"/>
      <c r="B15" s="1533" t="s">
        <v>999</v>
      </c>
      <c r="C15" s="834" t="s">
        <v>994</v>
      </c>
      <c r="D15" s="836">
        <f>D7+D9+D11+D13</f>
        <v>791</v>
      </c>
      <c r="E15" s="836">
        <f>E7+E9+E11+E13</f>
        <v>3172</v>
      </c>
      <c r="F15" s="836">
        <f>SUM(F7,F9,F11,F13)</f>
        <v>0</v>
      </c>
      <c r="G15" s="836">
        <f>SUM(G7,G9,G11,G13)</f>
        <v>0</v>
      </c>
      <c r="H15" s="836">
        <f>SUM(H7,H9,H11,H13)</f>
        <v>0</v>
      </c>
      <c r="I15" s="836">
        <f>SUM(I7,I9,I11,I13)</f>
        <v>0</v>
      </c>
      <c r="J15" s="836">
        <f>SUM(J7,J9,J11,J13)</f>
        <v>0</v>
      </c>
      <c r="K15" s="836"/>
      <c r="L15" s="836"/>
      <c r="M15" s="836"/>
      <c r="N15" s="837">
        <f t="shared" si="0"/>
        <v>3963</v>
      </c>
    </row>
    <row r="16" spans="1:14" s="357" customFormat="1" ht="18" customHeight="1">
      <c r="A16" s="1531"/>
      <c r="B16" s="1533"/>
      <c r="C16" s="834" t="s">
        <v>995</v>
      </c>
      <c r="D16" s="836">
        <f>D8+D10+D12+D14</f>
        <v>835</v>
      </c>
      <c r="E16" s="836">
        <f>E8+E10+E12+E14</f>
        <v>3518</v>
      </c>
      <c r="F16" s="836">
        <f aca="true" t="shared" si="1" ref="F16:M16">SUM(F8+F10+F12+F14)</f>
        <v>0</v>
      </c>
      <c r="G16" s="836">
        <f t="shared" si="1"/>
        <v>0</v>
      </c>
      <c r="H16" s="836">
        <f t="shared" si="1"/>
        <v>0</v>
      </c>
      <c r="I16" s="836">
        <f t="shared" si="1"/>
        <v>0</v>
      </c>
      <c r="J16" s="836">
        <f t="shared" si="1"/>
        <v>0</v>
      </c>
      <c r="K16" s="836">
        <f t="shared" si="1"/>
        <v>0</v>
      </c>
      <c r="L16" s="836">
        <f t="shared" si="1"/>
        <v>0</v>
      </c>
      <c r="M16" s="836">
        <f t="shared" si="1"/>
        <v>0</v>
      </c>
      <c r="N16" s="837">
        <f t="shared" si="0"/>
        <v>4353</v>
      </c>
    </row>
    <row r="17" spans="1:14" s="357" customFormat="1" ht="18" customHeight="1">
      <c r="A17" s="1531" t="s">
        <v>1000</v>
      </c>
      <c r="B17" s="1532" t="s">
        <v>1001</v>
      </c>
      <c r="C17" s="834" t="s">
        <v>994</v>
      </c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7">
        <f aca="true" t="shared" si="2" ref="N17:N24">SUM(D17:M17)</f>
        <v>0</v>
      </c>
    </row>
    <row r="18" spans="1:14" s="357" customFormat="1" ht="18" customHeight="1">
      <c r="A18" s="1531"/>
      <c r="B18" s="1532"/>
      <c r="C18" s="834" t="s">
        <v>995</v>
      </c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7">
        <f t="shared" si="2"/>
        <v>0</v>
      </c>
    </row>
    <row r="19" spans="1:14" s="357" customFormat="1" ht="18" customHeight="1">
      <c r="A19" s="1531"/>
      <c r="B19" s="1532" t="s">
        <v>668</v>
      </c>
      <c r="C19" s="834" t="s">
        <v>663</v>
      </c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7">
        <f t="shared" si="2"/>
        <v>0</v>
      </c>
    </row>
    <row r="20" spans="1:14" s="357" customFormat="1" ht="18" customHeight="1">
      <c r="A20" s="1531"/>
      <c r="B20" s="1532"/>
      <c r="C20" s="834" t="s">
        <v>664</v>
      </c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7">
        <f t="shared" si="2"/>
        <v>0</v>
      </c>
    </row>
    <row r="21" spans="1:14" s="357" customFormat="1" ht="18" customHeight="1">
      <c r="A21" s="1531"/>
      <c r="B21" s="1532" t="s">
        <v>1002</v>
      </c>
      <c r="C21" s="834" t="s">
        <v>663</v>
      </c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7">
        <f t="shared" si="2"/>
        <v>0</v>
      </c>
    </row>
    <row r="22" spans="1:14" s="357" customFormat="1" ht="18" customHeight="1">
      <c r="A22" s="1531"/>
      <c r="B22" s="1532"/>
      <c r="C22" s="834" t="s">
        <v>664</v>
      </c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37">
        <f t="shared" si="2"/>
        <v>0</v>
      </c>
    </row>
    <row r="23" spans="1:14" s="357" customFormat="1" ht="18" customHeight="1">
      <c r="A23" s="1531"/>
      <c r="B23" s="1532" t="s">
        <v>340</v>
      </c>
      <c r="C23" s="834" t="s">
        <v>663</v>
      </c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9">
        <f t="shared" si="2"/>
        <v>0</v>
      </c>
    </row>
    <row r="24" spans="1:14" s="357" customFormat="1" ht="18" customHeight="1">
      <c r="A24" s="1531"/>
      <c r="B24" s="1532"/>
      <c r="C24" s="834" t="s">
        <v>664</v>
      </c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9">
        <f t="shared" si="2"/>
        <v>0</v>
      </c>
    </row>
    <row r="25" spans="1:14" s="357" customFormat="1" ht="18" customHeight="1">
      <c r="A25" s="1531" t="s">
        <v>665</v>
      </c>
      <c r="B25" s="1533"/>
      <c r="C25" s="834" t="s">
        <v>663</v>
      </c>
      <c r="D25" s="836">
        <f>+D15</f>
        <v>791</v>
      </c>
      <c r="E25" s="836">
        <f>+E15+E23</f>
        <v>3172</v>
      </c>
      <c r="F25" s="836">
        <f>+F15+F23</f>
        <v>0</v>
      </c>
      <c r="G25" s="836">
        <f>+G15</f>
        <v>0</v>
      </c>
      <c r="H25" s="836">
        <f aca="true" t="shared" si="3" ref="H25:J26">+H15+H23</f>
        <v>0</v>
      </c>
      <c r="I25" s="836">
        <f t="shared" si="3"/>
        <v>0</v>
      </c>
      <c r="J25" s="836">
        <f t="shared" si="3"/>
        <v>0</v>
      </c>
      <c r="K25" s="836"/>
      <c r="L25" s="836"/>
      <c r="M25" s="836"/>
      <c r="N25" s="837">
        <f>SUM(N15+N23)</f>
        <v>3963</v>
      </c>
    </row>
    <row r="26" spans="1:14" s="357" customFormat="1" ht="18" customHeight="1">
      <c r="A26" s="1534"/>
      <c r="B26" s="1535"/>
      <c r="C26" s="840" t="s">
        <v>995</v>
      </c>
      <c r="D26" s="841">
        <f>+D16</f>
        <v>835</v>
      </c>
      <c r="E26" s="841">
        <f>+E16+E24</f>
        <v>3518</v>
      </c>
      <c r="F26" s="841">
        <f>+F16+F24</f>
        <v>0</v>
      </c>
      <c r="G26" s="841">
        <f>+G16</f>
        <v>0</v>
      </c>
      <c r="H26" s="841">
        <f t="shared" si="3"/>
        <v>0</v>
      </c>
      <c r="I26" s="841">
        <f t="shared" si="3"/>
        <v>0</v>
      </c>
      <c r="J26" s="841">
        <f t="shared" si="3"/>
        <v>0</v>
      </c>
      <c r="K26" s="841"/>
      <c r="L26" s="841"/>
      <c r="M26" s="841"/>
      <c r="N26" s="842">
        <f>SUM(N16+N24)</f>
        <v>4353</v>
      </c>
    </row>
    <row r="27" s="358" customFormat="1" ht="13.5"/>
    <row r="28" s="358" customFormat="1" ht="13.5"/>
  </sheetData>
  <sheetProtection/>
  <mergeCells count="26">
    <mergeCell ref="A2:N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A7:A16"/>
    <mergeCell ref="B7:B8"/>
    <mergeCell ref="B9:B10"/>
    <mergeCell ref="B11:B12"/>
    <mergeCell ref="B13:B14"/>
    <mergeCell ref="B15:B16"/>
    <mergeCell ref="A17:A24"/>
    <mergeCell ref="B17:B18"/>
    <mergeCell ref="B19:B20"/>
    <mergeCell ref="B21:B22"/>
    <mergeCell ref="B23:B24"/>
    <mergeCell ref="A25:B26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zoomScale="90" zoomScaleNormal="90" zoomScalePageLayoutView="0" workbookViewId="0" topLeftCell="A1">
      <selection activeCell="A1" sqref="A1"/>
    </sheetView>
  </sheetViews>
  <sheetFormatPr defaultColWidth="8.88671875" defaultRowHeight="13.5"/>
  <cols>
    <col min="1" max="1" width="13.21484375" style="58" customWidth="1"/>
    <col min="2" max="2" width="14.4453125" style="58" customWidth="1"/>
    <col min="3" max="3" width="8.88671875" style="58" customWidth="1"/>
    <col min="4" max="4" width="9.5546875" style="58" customWidth="1"/>
    <col min="5" max="5" width="10.99609375" style="58" customWidth="1"/>
    <col min="6" max="6" width="16.6640625" style="64" customWidth="1"/>
    <col min="7" max="7" width="22.6640625" style="64" customWidth="1"/>
    <col min="8" max="8" width="15.10546875" style="58" customWidth="1"/>
    <col min="9" max="16384" width="8.88671875" style="58" customWidth="1"/>
  </cols>
  <sheetData>
    <row r="1" ht="24" customHeight="1">
      <c r="A1" s="45" t="s">
        <v>194</v>
      </c>
    </row>
    <row r="2" spans="1:8" ht="36.75" customHeight="1">
      <c r="A2" s="1326" t="s">
        <v>161</v>
      </c>
      <c r="B2" s="1326"/>
      <c r="C2" s="1326"/>
      <c r="D2" s="1326"/>
      <c r="E2" s="1326"/>
      <c r="F2" s="1326"/>
      <c r="G2" s="1326"/>
      <c r="H2" s="1326"/>
    </row>
    <row r="3" spans="1:8" ht="19.5" customHeight="1">
      <c r="A3" s="74" t="s">
        <v>120</v>
      </c>
      <c r="G3" s="1547" t="s">
        <v>94</v>
      </c>
      <c r="H3" s="1547"/>
    </row>
    <row r="4" spans="1:8" ht="15.75" customHeight="1">
      <c r="A4" s="1550" t="s">
        <v>122</v>
      </c>
      <c r="B4" s="1546" t="s">
        <v>123</v>
      </c>
      <c r="C4" s="1546" t="s">
        <v>124</v>
      </c>
      <c r="D4" s="1546" t="s">
        <v>125</v>
      </c>
      <c r="E4" s="1546" t="s">
        <v>126</v>
      </c>
      <c r="F4" s="1546" t="s">
        <v>127</v>
      </c>
      <c r="G4" s="1546"/>
      <c r="H4" s="1548" t="s">
        <v>121</v>
      </c>
    </row>
    <row r="5" spans="1:8" ht="15.75" customHeight="1">
      <c r="A5" s="1551"/>
      <c r="B5" s="1545"/>
      <c r="C5" s="1545"/>
      <c r="D5" s="1545"/>
      <c r="E5" s="1545"/>
      <c r="F5" s="81" t="s">
        <v>128</v>
      </c>
      <c r="G5" s="81" t="s">
        <v>127</v>
      </c>
      <c r="H5" s="1549"/>
    </row>
    <row r="6" spans="1:8" ht="20.25" customHeight="1">
      <c r="A6" s="1551" t="s">
        <v>129</v>
      </c>
      <c r="B6" s="80" t="s">
        <v>130</v>
      </c>
      <c r="C6" s="80"/>
      <c r="D6" s="80"/>
      <c r="E6" s="80">
        <v>412</v>
      </c>
      <c r="F6" s="81">
        <f>SUM(G6/E6)</f>
        <v>19020368.932038836</v>
      </c>
      <c r="G6" s="81">
        <v>7836392000</v>
      </c>
      <c r="H6" s="82"/>
    </row>
    <row r="7" spans="1:8" ht="20.25" customHeight="1">
      <c r="A7" s="1551"/>
      <c r="B7" s="83" t="s">
        <v>95</v>
      </c>
      <c r="C7" s="80"/>
      <c r="D7" s="80"/>
      <c r="E7" s="80"/>
      <c r="F7" s="81"/>
      <c r="G7" s="81"/>
      <c r="H7" s="82"/>
    </row>
    <row r="8" spans="1:8" ht="20.25" customHeight="1">
      <c r="A8" s="1551"/>
      <c r="B8" s="83" t="s">
        <v>132</v>
      </c>
      <c r="C8" s="80"/>
      <c r="D8" s="80"/>
      <c r="E8" s="80">
        <v>412</v>
      </c>
      <c r="F8" s="81">
        <f>SUM(G8/E8)</f>
        <v>51951009.708737865</v>
      </c>
      <c r="G8" s="81">
        <v>21403816000</v>
      </c>
      <c r="H8" s="82"/>
    </row>
    <row r="9" spans="1:8" ht="20.25" customHeight="1">
      <c r="A9" s="1551"/>
      <c r="B9" s="80" t="s">
        <v>133</v>
      </c>
      <c r="C9" s="80"/>
      <c r="D9" s="80"/>
      <c r="E9" s="80">
        <v>412</v>
      </c>
      <c r="F9" s="81">
        <f>SUM(G9/E9)</f>
        <v>5545953.8834951455</v>
      </c>
      <c r="G9" s="81">
        <v>2284933000</v>
      </c>
      <c r="H9" s="82"/>
    </row>
    <row r="10" spans="1:8" ht="20.25" customHeight="1">
      <c r="A10" s="1551"/>
      <c r="B10" s="80" t="s">
        <v>134</v>
      </c>
      <c r="C10" s="80"/>
      <c r="D10" s="80"/>
      <c r="E10" s="81" t="s">
        <v>120</v>
      </c>
      <c r="F10" s="81" t="s">
        <v>120</v>
      </c>
      <c r="G10" s="81">
        <v>0</v>
      </c>
      <c r="H10" s="82"/>
    </row>
    <row r="11" spans="1:8" ht="20.25" customHeight="1">
      <c r="A11" s="1551"/>
      <c r="B11" s="1545" t="s">
        <v>135</v>
      </c>
      <c r="C11" s="1545"/>
      <c r="D11" s="1545"/>
      <c r="E11" s="84" t="s">
        <v>120</v>
      </c>
      <c r="F11" s="81" t="s">
        <v>120</v>
      </c>
      <c r="G11" s="81">
        <f>SUM(G6:G10)</f>
        <v>31525141000</v>
      </c>
      <c r="H11" s="82"/>
    </row>
    <row r="12" spans="1:8" ht="20.25" customHeight="1">
      <c r="A12" s="1551" t="s">
        <v>136</v>
      </c>
      <c r="B12" s="80" t="s">
        <v>96</v>
      </c>
      <c r="C12" s="80"/>
      <c r="D12" s="80"/>
      <c r="E12" s="1007">
        <v>229</v>
      </c>
      <c r="F12" s="81">
        <f>SUM(G12/E12)</f>
        <v>6595842.794759825</v>
      </c>
      <c r="G12" s="81">
        <v>1510448000</v>
      </c>
      <c r="H12" s="82"/>
    </row>
    <row r="13" spans="1:8" ht="20.25" customHeight="1">
      <c r="A13" s="1551"/>
      <c r="B13" s="80" t="s">
        <v>92</v>
      </c>
      <c r="C13" s="80"/>
      <c r="D13" s="80"/>
      <c r="E13" s="80"/>
      <c r="F13" s="81"/>
      <c r="G13" s="81">
        <v>481947000</v>
      </c>
      <c r="H13" s="82"/>
    </row>
    <row r="14" spans="1:8" ht="20.25" customHeight="1">
      <c r="A14" s="1551"/>
      <c r="B14" s="1545" t="s">
        <v>137</v>
      </c>
      <c r="C14" s="1545"/>
      <c r="D14" s="1545"/>
      <c r="E14" s="80" t="s">
        <v>120</v>
      </c>
      <c r="F14" s="81" t="s">
        <v>120</v>
      </c>
      <c r="G14" s="81">
        <f>SUM(G12:G13)</f>
        <v>1992395000</v>
      </c>
      <c r="H14" s="82"/>
    </row>
    <row r="15" spans="1:8" ht="20.25" customHeight="1">
      <c r="A15" s="1543" t="s">
        <v>138</v>
      </c>
      <c r="B15" s="80" t="s">
        <v>139</v>
      </c>
      <c r="C15" s="80"/>
      <c r="D15" s="80"/>
      <c r="E15" s="80">
        <v>66</v>
      </c>
      <c r="F15" s="81">
        <f>SUM(G15/E15)</f>
        <v>25754696.96969697</v>
      </c>
      <c r="G15" s="81">
        <v>1699810000</v>
      </c>
      <c r="H15" s="82"/>
    </row>
    <row r="16" spans="1:8" ht="20.25" customHeight="1">
      <c r="A16" s="1544"/>
      <c r="B16" s="1545" t="s">
        <v>137</v>
      </c>
      <c r="C16" s="1545"/>
      <c r="D16" s="1545"/>
      <c r="E16" s="80" t="s">
        <v>120</v>
      </c>
      <c r="F16" s="81" t="s">
        <v>120</v>
      </c>
      <c r="G16" s="81">
        <f>SUM(G15)</f>
        <v>1699810000</v>
      </c>
      <c r="H16" s="82"/>
    </row>
    <row r="17" spans="1:8" ht="20.25" customHeight="1">
      <c r="A17" s="1551" t="s">
        <v>140</v>
      </c>
      <c r="B17" s="80" t="s">
        <v>130</v>
      </c>
      <c r="C17" s="80"/>
      <c r="D17" s="80"/>
      <c r="E17" s="80">
        <v>90</v>
      </c>
      <c r="F17" s="81">
        <f>SUM(G17/E17)</f>
        <v>12432722.222222222</v>
      </c>
      <c r="G17" s="81">
        <v>1118945000</v>
      </c>
      <c r="H17" s="82"/>
    </row>
    <row r="18" spans="1:8" ht="20.25" customHeight="1">
      <c r="A18" s="1551"/>
      <c r="B18" s="80" t="s">
        <v>131</v>
      </c>
      <c r="C18" s="80"/>
      <c r="D18" s="80"/>
      <c r="E18" s="80"/>
      <c r="F18" s="81"/>
      <c r="G18" s="81"/>
      <c r="H18" s="82"/>
    </row>
    <row r="19" spans="1:8" ht="20.25" customHeight="1">
      <c r="A19" s="1551"/>
      <c r="B19" s="80" t="s">
        <v>132</v>
      </c>
      <c r="C19" s="80"/>
      <c r="D19" s="80"/>
      <c r="E19" s="80">
        <v>90</v>
      </c>
      <c r="F19" s="81">
        <f>SUM(G19/E19)</f>
        <v>14354455.555555556</v>
      </c>
      <c r="G19" s="81">
        <v>1291901000</v>
      </c>
      <c r="H19" s="82"/>
    </row>
    <row r="20" spans="1:8" ht="20.25" customHeight="1">
      <c r="A20" s="1551"/>
      <c r="B20" s="80" t="s">
        <v>133</v>
      </c>
      <c r="C20" s="80"/>
      <c r="D20" s="80"/>
      <c r="E20" s="80">
        <v>90</v>
      </c>
      <c r="F20" s="81">
        <f>SUM(G20/E20)</f>
        <v>4611855.555555556</v>
      </c>
      <c r="G20" s="81">
        <v>415067000</v>
      </c>
      <c r="H20" s="82"/>
    </row>
    <row r="21" spans="1:8" ht="20.25" customHeight="1">
      <c r="A21" s="1551"/>
      <c r="B21" s="80" t="s">
        <v>134</v>
      </c>
      <c r="C21" s="85"/>
      <c r="D21" s="85"/>
      <c r="E21" s="1007">
        <v>50</v>
      </c>
      <c r="F21" s="937">
        <f>SUM(G21/E21)</f>
        <v>3386160</v>
      </c>
      <c r="G21" s="86">
        <v>169308000</v>
      </c>
      <c r="H21" s="87"/>
    </row>
    <row r="22" spans="1:8" ht="20.25" customHeight="1">
      <c r="A22" s="1551"/>
      <c r="B22" s="1545" t="s">
        <v>137</v>
      </c>
      <c r="C22" s="1545"/>
      <c r="D22" s="1545"/>
      <c r="E22" s="80" t="s">
        <v>120</v>
      </c>
      <c r="F22" s="86" t="s">
        <v>120</v>
      </c>
      <c r="G22" s="86">
        <f>SUM(G17:G21)</f>
        <v>2995221000</v>
      </c>
      <c r="H22" s="87"/>
    </row>
    <row r="23" spans="1:8" s="59" customFormat="1" ht="20.25" customHeight="1">
      <c r="A23" s="1543" t="s">
        <v>141</v>
      </c>
      <c r="B23" s="80" t="s">
        <v>624</v>
      </c>
      <c r="C23" s="85"/>
      <c r="D23" s="85"/>
      <c r="E23" s="85"/>
      <c r="F23" s="86" t="s">
        <v>159</v>
      </c>
      <c r="G23" s="86">
        <v>29100000</v>
      </c>
      <c r="H23" s="87"/>
    </row>
    <row r="24" spans="1:8" s="59" customFormat="1" ht="20.25" customHeight="1">
      <c r="A24" s="1554"/>
      <c r="B24" s="80" t="s">
        <v>142</v>
      </c>
      <c r="C24" s="85"/>
      <c r="D24" s="85"/>
      <c r="E24" s="85"/>
      <c r="F24" s="86"/>
      <c r="G24" s="86">
        <v>0</v>
      </c>
      <c r="H24" s="87"/>
    </row>
    <row r="25" spans="1:8" s="59" customFormat="1" ht="20.25" customHeight="1">
      <c r="A25" s="1544"/>
      <c r="B25" s="1545" t="s">
        <v>137</v>
      </c>
      <c r="C25" s="1545"/>
      <c r="D25" s="1545"/>
      <c r="E25" s="80" t="s">
        <v>120</v>
      </c>
      <c r="F25" s="86" t="s">
        <v>120</v>
      </c>
      <c r="G25" s="86">
        <f>SUM(G23:G24)</f>
        <v>29100000</v>
      </c>
      <c r="H25" s="87"/>
    </row>
    <row r="26" spans="1:8" s="59" customFormat="1" ht="20.25" customHeight="1">
      <c r="A26" s="1552" t="s">
        <v>143</v>
      </c>
      <c r="B26" s="1553"/>
      <c r="C26" s="1553"/>
      <c r="D26" s="1553"/>
      <c r="E26" s="88" t="s">
        <v>120</v>
      </c>
      <c r="F26" s="89" t="s">
        <v>120</v>
      </c>
      <c r="G26" s="89">
        <f>SUM(G11,G14,G16,G22,G25)</f>
        <v>38241667000</v>
      </c>
      <c r="H26" s="90"/>
    </row>
    <row r="27" ht="22.5" customHeight="1"/>
    <row r="34" ht="12" customHeight="1"/>
  </sheetData>
  <sheetProtection/>
  <mergeCells count="20">
    <mergeCell ref="A17:A22"/>
    <mergeCell ref="B22:D22"/>
    <mergeCell ref="B25:D25"/>
    <mergeCell ref="A26:D26"/>
    <mergeCell ref="A23:A25"/>
    <mergeCell ref="D4:D5"/>
    <mergeCell ref="B11:D11"/>
    <mergeCell ref="A6:A11"/>
    <mergeCell ref="B14:D14"/>
    <mergeCell ref="A12:A14"/>
    <mergeCell ref="A15:A16"/>
    <mergeCell ref="B16:D16"/>
    <mergeCell ref="E4:E5"/>
    <mergeCell ref="A2:H2"/>
    <mergeCell ref="G3:H3"/>
    <mergeCell ref="F4:G4"/>
    <mergeCell ref="H4:H5"/>
    <mergeCell ref="A4:A5"/>
    <mergeCell ref="B4:B5"/>
    <mergeCell ref="C4:C5"/>
  </mergeCells>
  <printOptions/>
  <pageMargins left="1.08" right="0.46" top="0.32" bottom="0.28" header="0.32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showGridLines="0" zoomScale="90" zoomScaleNormal="90" zoomScalePageLayoutView="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9" width="8.88671875" style="640" customWidth="1"/>
    <col min="10" max="10" width="14.77734375" style="640" customWidth="1"/>
    <col min="11" max="11" width="18.5546875" style="640" customWidth="1"/>
    <col min="12" max="12" width="8.88671875" style="640" customWidth="1"/>
    <col min="13" max="16384" width="8.88671875" style="1" customWidth="1"/>
  </cols>
  <sheetData>
    <row r="1" spans="1:11" ht="25.5">
      <c r="A1" s="37" t="s">
        <v>876</v>
      </c>
      <c r="B1" s="730"/>
      <c r="C1" s="730"/>
      <c r="D1" s="730"/>
      <c r="E1" s="730"/>
      <c r="F1" s="730"/>
      <c r="G1" s="730"/>
      <c r="H1" s="730"/>
      <c r="I1" s="730"/>
      <c r="J1" s="730"/>
      <c r="K1" s="731"/>
    </row>
    <row r="2" ht="18.75" customHeight="1"/>
    <row r="3" spans="1:2" ht="24.75" customHeight="1">
      <c r="A3" s="38">
        <v>1</v>
      </c>
      <c r="B3" s="640" t="s">
        <v>1503</v>
      </c>
    </row>
    <row r="4" spans="1:2" ht="24.75" customHeight="1">
      <c r="A4" s="38">
        <v>2</v>
      </c>
      <c r="B4" s="640" t="s">
        <v>877</v>
      </c>
    </row>
    <row r="5" spans="1:2" ht="24.75" customHeight="1">
      <c r="A5" s="38"/>
      <c r="B5" s="640" t="s">
        <v>878</v>
      </c>
    </row>
    <row r="6" spans="1:2" ht="24.75" customHeight="1">
      <c r="A6" s="38"/>
      <c r="B6" s="640" t="s">
        <v>879</v>
      </c>
    </row>
    <row r="7" spans="1:2" ht="24.75" customHeight="1">
      <c r="A7" s="38"/>
      <c r="B7" s="640" t="s">
        <v>880</v>
      </c>
    </row>
    <row r="8" spans="1:2" ht="24.75" customHeight="1">
      <c r="A8" s="38">
        <v>3</v>
      </c>
      <c r="B8" s="640" t="s">
        <v>881</v>
      </c>
    </row>
    <row r="9" spans="1:2" ht="24.75" customHeight="1">
      <c r="A9" s="38"/>
      <c r="B9" s="640" t="s">
        <v>882</v>
      </c>
    </row>
    <row r="10" spans="1:11" ht="24.75" customHeight="1">
      <c r="A10" s="38"/>
      <c r="B10" s="1220" t="s">
        <v>1504</v>
      </c>
      <c r="C10" s="1220"/>
      <c r="D10" s="1220"/>
      <c r="E10" s="1220"/>
      <c r="F10" s="1220"/>
      <c r="G10" s="1220"/>
      <c r="H10" s="1220"/>
      <c r="I10" s="1220"/>
      <c r="J10" s="1220"/>
      <c r="K10" s="1220"/>
    </row>
    <row r="11" spans="1:11" ht="24.75" customHeight="1">
      <c r="A11" s="38"/>
      <c r="B11" s="1221" t="s">
        <v>1505</v>
      </c>
      <c r="C11" s="1221"/>
      <c r="D11" s="1221"/>
      <c r="E11" s="1221"/>
      <c r="F11" s="1221"/>
      <c r="G11" s="1221"/>
      <c r="H11" s="1221"/>
      <c r="I11" s="1221"/>
      <c r="J11" s="1221"/>
      <c r="K11" s="1221"/>
    </row>
    <row r="12" spans="1:11" ht="24.75" customHeight="1">
      <c r="A12" s="38"/>
      <c r="B12" s="1221" t="s">
        <v>1506</v>
      </c>
      <c r="C12" s="1221"/>
      <c r="D12" s="1221"/>
      <c r="E12" s="1221"/>
      <c r="F12" s="1221"/>
      <c r="G12" s="1221"/>
      <c r="H12" s="1221"/>
      <c r="I12" s="1221"/>
      <c r="J12" s="1221"/>
      <c r="K12" s="1221"/>
    </row>
    <row r="13" spans="1:11" ht="24.75" customHeight="1">
      <c r="A13" s="38"/>
      <c r="B13" s="1221" t="s">
        <v>1507</v>
      </c>
      <c r="C13" s="1221"/>
      <c r="D13" s="1221"/>
      <c r="E13" s="1221"/>
      <c r="F13" s="1221"/>
      <c r="G13" s="1221"/>
      <c r="H13" s="1221"/>
      <c r="I13" s="1221"/>
      <c r="J13" s="1221"/>
      <c r="K13" s="1221"/>
    </row>
    <row r="14" spans="1:11" ht="24.75" customHeight="1">
      <c r="A14" s="38"/>
      <c r="B14" s="1220" t="s">
        <v>1508</v>
      </c>
      <c r="C14" s="1220"/>
      <c r="D14" s="1220"/>
      <c r="E14" s="1220"/>
      <c r="F14" s="1220"/>
      <c r="G14" s="1220"/>
      <c r="H14" s="1220"/>
      <c r="I14" s="1220"/>
      <c r="J14" s="1220"/>
      <c r="K14" s="1220"/>
    </row>
    <row r="15" spans="1:11" ht="24.75" customHeight="1">
      <c r="A15" s="38"/>
      <c r="B15" s="1220" t="s">
        <v>1509</v>
      </c>
      <c r="C15" s="1220"/>
      <c r="D15" s="1220"/>
      <c r="E15" s="1220"/>
      <c r="F15" s="1220"/>
      <c r="G15" s="1220"/>
      <c r="H15" s="1220"/>
      <c r="I15" s="1220"/>
      <c r="J15" s="1220"/>
      <c r="K15" s="1220"/>
    </row>
    <row r="16" spans="1:11" ht="24.75" customHeight="1">
      <c r="A16" s="38"/>
      <c r="B16" s="1220" t="s">
        <v>1510</v>
      </c>
      <c r="C16" s="1220"/>
      <c r="D16" s="1220"/>
      <c r="E16" s="1220"/>
      <c r="F16" s="1220"/>
      <c r="G16" s="1220"/>
      <c r="H16" s="1220"/>
      <c r="I16" s="1220"/>
      <c r="J16" s="1220"/>
      <c r="K16" s="1220"/>
    </row>
    <row r="17" spans="1:11" ht="24.75" customHeight="1">
      <c r="A17" s="38"/>
      <c r="B17" s="1220" t="s">
        <v>1511</v>
      </c>
      <c r="C17" s="1220"/>
      <c r="D17" s="1220"/>
      <c r="E17" s="1220"/>
      <c r="F17" s="1220"/>
      <c r="G17" s="1220"/>
      <c r="H17" s="1220"/>
      <c r="I17" s="1220"/>
      <c r="J17" s="1220"/>
      <c r="K17" s="1220"/>
    </row>
    <row r="18" spans="1:11" ht="24.75" customHeight="1">
      <c r="A18" s="38"/>
      <c r="B18" s="1220" t="s">
        <v>1512</v>
      </c>
      <c r="C18" s="1220"/>
      <c r="D18" s="1220"/>
      <c r="E18" s="1220"/>
      <c r="F18" s="1220"/>
      <c r="G18" s="1220"/>
      <c r="H18" s="1220"/>
      <c r="I18" s="1220"/>
      <c r="J18" s="1220"/>
      <c r="K18" s="1220"/>
    </row>
    <row r="19" spans="1:2" ht="24.75" customHeight="1">
      <c r="A19" s="38"/>
      <c r="B19" s="640" t="s">
        <v>883</v>
      </c>
    </row>
    <row r="20" spans="1:11" ht="30.75" customHeight="1">
      <c r="A20" s="38"/>
      <c r="B20" s="1220" t="s">
        <v>1513</v>
      </c>
      <c r="C20" s="1220"/>
      <c r="D20" s="1220"/>
      <c r="E20" s="1220"/>
      <c r="F20" s="1220"/>
      <c r="G20" s="1220"/>
      <c r="H20" s="1220"/>
      <c r="I20" s="1220"/>
      <c r="J20" s="1220"/>
      <c r="K20" s="1220"/>
    </row>
    <row r="21" spans="1:11" ht="26.25" customHeight="1">
      <c r="A21" s="38"/>
      <c r="B21" s="1220" t="s">
        <v>1514</v>
      </c>
      <c r="C21" s="1220"/>
      <c r="D21" s="1220"/>
      <c r="E21" s="1220"/>
      <c r="F21" s="1220"/>
      <c r="G21" s="1220"/>
      <c r="H21" s="1220"/>
      <c r="I21" s="1220"/>
      <c r="J21" s="1220"/>
      <c r="K21" s="1220"/>
    </row>
    <row r="22" spans="1:11" ht="30.75" customHeight="1">
      <c r="A22" s="38"/>
      <c r="B22" s="1220" t="s">
        <v>1515</v>
      </c>
      <c r="C22" s="1220"/>
      <c r="D22" s="1220"/>
      <c r="E22" s="1220"/>
      <c r="F22" s="1220"/>
      <c r="G22" s="1220"/>
      <c r="H22" s="1220"/>
      <c r="I22" s="1220"/>
      <c r="J22" s="1220"/>
      <c r="K22" s="1220"/>
    </row>
    <row r="23" spans="1:11" ht="30.75" customHeight="1">
      <c r="A23" s="38"/>
      <c r="B23" s="1220" t="s">
        <v>1516</v>
      </c>
      <c r="C23" s="1220"/>
      <c r="D23" s="1220"/>
      <c r="E23" s="1220"/>
      <c r="F23" s="1220"/>
      <c r="G23" s="1220"/>
      <c r="H23" s="1220"/>
      <c r="I23" s="1220"/>
      <c r="J23" s="1220"/>
      <c r="K23" s="1220"/>
    </row>
    <row r="24" spans="1:11" ht="30.75" customHeight="1">
      <c r="A24" s="38"/>
      <c r="B24" s="1220" t="s">
        <v>1517</v>
      </c>
      <c r="C24" s="1220"/>
      <c r="D24" s="1220"/>
      <c r="E24" s="1220"/>
      <c r="F24" s="1220"/>
      <c r="G24" s="1220"/>
      <c r="H24" s="1220"/>
      <c r="I24" s="1220"/>
      <c r="J24" s="1220"/>
      <c r="K24" s="1220"/>
    </row>
    <row r="25" spans="1:11" ht="27.75" customHeight="1">
      <c r="A25" s="38"/>
      <c r="B25" s="1220" t="s">
        <v>1518</v>
      </c>
      <c r="C25" s="1220"/>
      <c r="D25" s="1220"/>
      <c r="E25" s="1220"/>
      <c r="F25" s="1220"/>
      <c r="G25" s="1220"/>
      <c r="H25" s="1220"/>
      <c r="I25" s="1220"/>
      <c r="J25" s="1220"/>
      <c r="K25" s="1220"/>
    </row>
    <row r="26" spans="1:11" ht="27.75" customHeight="1">
      <c r="A26" s="38"/>
      <c r="B26" s="1220" t="s">
        <v>1519</v>
      </c>
      <c r="C26" s="1220"/>
      <c r="D26" s="1220"/>
      <c r="E26" s="1220"/>
      <c r="F26" s="1220"/>
      <c r="G26" s="1220"/>
      <c r="H26" s="1220"/>
      <c r="I26" s="1220"/>
      <c r="J26" s="1220"/>
      <c r="K26" s="1220"/>
    </row>
    <row r="27" spans="1:11" ht="27" customHeight="1">
      <c r="A27" s="38"/>
      <c r="B27" s="1220" t="s">
        <v>1520</v>
      </c>
      <c r="C27" s="1220"/>
      <c r="D27" s="1220"/>
      <c r="E27" s="1220"/>
      <c r="F27" s="1220"/>
      <c r="G27" s="1220"/>
      <c r="H27" s="1220"/>
      <c r="I27" s="1220"/>
      <c r="J27" s="1220"/>
      <c r="K27" s="1220"/>
    </row>
    <row r="28" spans="1:11" ht="31.5" customHeight="1">
      <c r="A28" s="38"/>
      <c r="B28" s="1220" t="s">
        <v>1521</v>
      </c>
      <c r="C28" s="1220"/>
      <c r="D28" s="1220"/>
      <c r="E28" s="1220"/>
      <c r="F28" s="1220"/>
      <c r="G28" s="1220"/>
      <c r="H28" s="1220"/>
      <c r="I28" s="1220"/>
      <c r="J28" s="1220"/>
      <c r="K28" s="1220"/>
    </row>
    <row r="29" spans="1:11" ht="31.5" customHeight="1">
      <c r="A29" s="38"/>
      <c r="B29" s="1220" t="s">
        <v>1522</v>
      </c>
      <c r="C29" s="1220"/>
      <c r="D29" s="1220"/>
      <c r="E29" s="1220"/>
      <c r="F29" s="1220"/>
      <c r="G29" s="1220"/>
      <c r="H29" s="1220"/>
      <c r="I29" s="1220"/>
      <c r="J29" s="1220"/>
      <c r="K29" s="1220"/>
    </row>
    <row r="30" spans="1:11" ht="31.5" customHeight="1">
      <c r="A30" s="38"/>
      <c r="B30" s="1220" t="s">
        <v>1523</v>
      </c>
      <c r="C30" s="1220"/>
      <c r="D30" s="1220"/>
      <c r="E30" s="1220"/>
      <c r="F30" s="1220"/>
      <c r="G30" s="1220"/>
      <c r="H30" s="1220"/>
      <c r="I30" s="1220"/>
      <c r="J30" s="1220"/>
      <c r="K30" s="1220"/>
    </row>
  </sheetData>
  <sheetProtection/>
  <mergeCells count="20">
    <mergeCell ref="B10:K10"/>
    <mergeCell ref="B11:K11"/>
    <mergeCell ref="B12:K12"/>
    <mergeCell ref="B14:K14"/>
    <mergeCell ref="B15:K15"/>
    <mergeCell ref="B13:K13"/>
    <mergeCell ref="B16:K16"/>
    <mergeCell ref="B17:K17"/>
    <mergeCell ref="B18:K18"/>
    <mergeCell ref="B20:K20"/>
    <mergeCell ref="B21:K21"/>
    <mergeCell ref="B22:K22"/>
    <mergeCell ref="B29:K29"/>
    <mergeCell ref="B30:K30"/>
    <mergeCell ref="B23:K23"/>
    <mergeCell ref="B24:K24"/>
    <mergeCell ref="B25:K25"/>
    <mergeCell ref="B26:K26"/>
    <mergeCell ref="B27:K27"/>
    <mergeCell ref="B28:K28"/>
  </mergeCells>
  <printOptions/>
  <pageMargins left="0.81" right="0.46" top="0.82" bottom="0.6" header="0.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17.3359375" style="127" customWidth="1"/>
    <col min="2" max="2" width="12.21484375" style="192" bestFit="1" customWidth="1"/>
    <col min="3" max="3" width="12.3359375" style="192" customWidth="1"/>
    <col min="4" max="4" width="7.21484375" style="127" customWidth="1"/>
    <col min="5" max="5" width="13.10546875" style="127" customWidth="1"/>
    <col min="6" max="6" width="19.99609375" style="127" customWidth="1"/>
    <col min="7" max="7" width="11.6640625" style="192" customWidth="1"/>
    <col min="8" max="8" width="11.77734375" style="192" customWidth="1"/>
    <col min="9" max="9" width="6.6640625" style="127" bestFit="1" customWidth="1"/>
    <col min="10" max="10" width="12.4453125" style="127" customWidth="1"/>
    <col min="11" max="16384" width="8.88671875" style="127" customWidth="1"/>
  </cols>
  <sheetData>
    <row r="1" spans="1:10" ht="34.5" customHeight="1">
      <c r="A1" s="1222" t="s">
        <v>1249</v>
      </c>
      <c r="B1" s="1222"/>
      <c r="C1" s="1222"/>
      <c r="D1" s="1222"/>
      <c r="E1" s="1222"/>
      <c r="F1" s="1222"/>
      <c r="G1" s="1222"/>
      <c r="H1" s="1222"/>
      <c r="I1" s="1222"/>
      <c r="J1" s="1222"/>
    </row>
    <row r="2" ht="14.25">
      <c r="A2" s="128"/>
    </row>
    <row r="3" spans="1:10" s="129" customFormat="1" ht="18" customHeight="1">
      <c r="A3" s="129" t="s">
        <v>414</v>
      </c>
      <c r="B3" s="193"/>
      <c r="C3" s="193"/>
      <c r="G3" s="193"/>
      <c r="H3" s="193"/>
      <c r="J3" s="130" t="s">
        <v>179</v>
      </c>
    </row>
    <row r="4" spans="1:10" s="129" customFormat="1" ht="21.75" customHeight="1">
      <c r="A4" s="1223" t="s">
        <v>415</v>
      </c>
      <c r="B4" s="1224"/>
      <c r="C4" s="1224"/>
      <c r="D4" s="1224"/>
      <c r="E4" s="1225"/>
      <c r="F4" s="1223" t="s">
        <v>416</v>
      </c>
      <c r="G4" s="1224"/>
      <c r="H4" s="1224"/>
      <c r="I4" s="1224"/>
      <c r="J4" s="1226"/>
    </row>
    <row r="5" spans="1:10" s="129" customFormat="1" ht="21.75" customHeight="1">
      <c r="A5" s="131" t="s">
        <v>417</v>
      </c>
      <c r="B5" s="307" t="s">
        <v>1255</v>
      </c>
      <c r="C5" s="132" t="s">
        <v>1256</v>
      </c>
      <c r="D5" s="133" t="s">
        <v>418</v>
      </c>
      <c r="E5" s="134"/>
      <c r="F5" s="131" t="s">
        <v>419</v>
      </c>
      <c r="G5" s="307" t="s">
        <v>1255</v>
      </c>
      <c r="H5" s="132" t="s">
        <v>1257</v>
      </c>
      <c r="I5" s="133" t="s">
        <v>418</v>
      </c>
      <c r="J5" s="135"/>
    </row>
    <row r="6" spans="1:10" s="129" customFormat="1" ht="21.75" customHeight="1">
      <c r="A6" s="136" t="s">
        <v>420</v>
      </c>
      <c r="B6" s="138" t="s">
        <v>180</v>
      </c>
      <c r="C6" s="138" t="s">
        <v>180</v>
      </c>
      <c r="D6" s="137" t="s">
        <v>182</v>
      </c>
      <c r="E6" s="139" t="s">
        <v>181</v>
      </c>
      <c r="F6" s="136" t="s">
        <v>421</v>
      </c>
      <c r="G6" s="138" t="s">
        <v>181</v>
      </c>
      <c r="H6" s="138" t="s">
        <v>181</v>
      </c>
      <c r="I6" s="137" t="s">
        <v>182</v>
      </c>
      <c r="J6" s="140" t="s">
        <v>181</v>
      </c>
    </row>
    <row r="7" spans="1:10" s="129" customFormat="1" ht="33.75" customHeight="1">
      <c r="A7" s="141" t="s">
        <v>422</v>
      </c>
      <c r="B7" s="142">
        <f>'(수입-교비회계)'!G10</f>
        <v>47401341</v>
      </c>
      <c r="C7" s="142">
        <f>'(수입-교비회계)'!H10</f>
        <v>47236411</v>
      </c>
      <c r="D7" s="143">
        <f>SUM(B7/B17)</f>
        <v>0.30318805501512713</v>
      </c>
      <c r="E7" s="144">
        <f>SUM(B7-C7)</f>
        <v>164930</v>
      </c>
      <c r="F7" s="145" t="s">
        <v>423</v>
      </c>
      <c r="G7" s="146">
        <f>'(지출-교비회계)'!G9</f>
        <v>38241667</v>
      </c>
      <c r="H7" s="146">
        <f>'(지출-교비회계)'!H9</f>
        <v>36882132</v>
      </c>
      <c r="I7" s="147">
        <f>SUM(G7/G17)</f>
        <v>0.24460102591330005</v>
      </c>
      <c r="J7" s="148">
        <f aca="true" t="shared" si="0" ref="J7:J16">SUM(G7-H7)</f>
        <v>1359535</v>
      </c>
    </row>
    <row r="8" spans="1:10" s="129" customFormat="1" ht="33.75" customHeight="1">
      <c r="A8" s="145" t="s">
        <v>183</v>
      </c>
      <c r="B8" s="149">
        <f>'(수입-교비회계)'!G22</f>
        <v>32863664</v>
      </c>
      <c r="C8" s="149">
        <f>'(수입-교비회계)'!H22</f>
        <v>30734225</v>
      </c>
      <c r="D8" s="150">
        <f>SUM(B8/B17)</f>
        <v>0.21020228876711847</v>
      </c>
      <c r="E8" s="151">
        <f aca="true" t="shared" si="1" ref="E8:E14">SUM(B8-C8)</f>
        <v>2129439</v>
      </c>
      <c r="F8" s="145" t="s">
        <v>424</v>
      </c>
      <c r="G8" s="152">
        <f>'(지출-교비회계)'!G45</f>
        <v>7003617</v>
      </c>
      <c r="H8" s="152">
        <f>'(지출-교비회계)'!H45</f>
        <v>10136454</v>
      </c>
      <c r="I8" s="153">
        <f>SUM(G8/G17)</f>
        <v>0.04479647561660501</v>
      </c>
      <c r="J8" s="154">
        <f t="shared" si="0"/>
        <v>-3132837</v>
      </c>
    </row>
    <row r="9" spans="1:10" s="129" customFormat="1" ht="33.75" customHeight="1">
      <c r="A9" s="145" t="s">
        <v>425</v>
      </c>
      <c r="B9" s="152">
        <f>'(수입-교비회계)'!G58</f>
        <v>3193227</v>
      </c>
      <c r="C9" s="152">
        <f>'(수입-교비회계)'!H58</f>
        <v>3127000</v>
      </c>
      <c r="D9" s="153">
        <f>SUM(B9/B17)</f>
        <v>0.020424491436893934</v>
      </c>
      <c r="E9" s="155">
        <f t="shared" si="1"/>
        <v>66227</v>
      </c>
      <c r="F9" s="145" t="s">
        <v>426</v>
      </c>
      <c r="G9" s="152">
        <f>'(지출-교비회계)'!G105</f>
        <v>23472978</v>
      </c>
      <c r="H9" s="152">
        <f>'(지출-교비회계)'!H105</f>
        <v>23352150</v>
      </c>
      <c r="I9" s="153">
        <f>SUM(G9/G17)</f>
        <v>0.15013766267146048</v>
      </c>
      <c r="J9" s="154">
        <f t="shared" si="0"/>
        <v>120828</v>
      </c>
    </row>
    <row r="10" spans="1:10" s="129" customFormat="1" ht="33.75" customHeight="1">
      <c r="A10" s="145" t="s">
        <v>427</v>
      </c>
      <c r="B10" s="152">
        <f>'(수입-교비회계)'!G78</f>
        <v>2630825</v>
      </c>
      <c r="C10" s="152">
        <f>'(수입-교비회계)'!H78</f>
        <v>2959520</v>
      </c>
      <c r="D10" s="153">
        <f>SUM(B10/B17)</f>
        <v>0.016827260537527235</v>
      </c>
      <c r="E10" s="155">
        <f t="shared" si="1"/>
        <v>-328695</v>
      </c>
      <c r="F10" s="145" t="s">
        <v>428</v>
      </c>
      <c r="G10" s="152">
        <f>'(지출-교비회계)'!G133</f>
        <v>40020</v>
      </c>
      <c r="H10" s="152">
        <f>'(지출-교비회계)'!H133</f>
        <v>40000</v>
      </c>
      <c r="I10" s="153">
        <f>SUM(G10/G17)</f>
        <v>0.000255975584355417</v>
      </c>
      <c r="J10" s="154">
        <f t="shared" si="0"/>
        <v>20</v>
      </c>
    </row>
    <row r="11" spans="1:10" s="129" customFormat="1" ht="33.75" customHeight="1">
      <c r="A11" s="145" t="s">
        <v>184</v>
      </c>
      <c r="B11" s="156">
        <f>'(수입-교비회계)'!G88</f>
        <v>38281843</v>
      </c>
      <c r="C11" s="156">
        <f>'(수입-교비회계)'!H88</f>
        <v>15002000</v>
      </c>
      <c r="D11" s="150">
        <f>SUM(B11/B17)</f>
        <v>0.2448579993035315</v>
      </c>
      <c r="E11" s="151">
        <f t="shared" si="1"/>
        <v>23279843</v>
      </c>
      <c r="F11" s="145" t="s">
        <v>429</v>
      </c>
      <c r="G11" s="152">
        <f>'(지출-교비회계)'!G153</f>
        <v>1300000</v>
      </c>
      <c r="H11" s="152">
        <f>'(지출-교비회계)'!H153</f>
        <v>1200000</v>
      </c>
      <c r="I11" s="153">
        <f>SUM(G11/G17)</f>
        <v>0.00831504896706752</v>
      </c>
      <c r="J11" s="154">
        <f t="shared" si="0"/>
        <v>100000</v>
      </c>
    </row>
    <row r="12" spans="1:10" s="129" customFormat="1" ht="33.75" customHeight="1">
      <c r="A12" s="145" t="s">
        <v>185</v>
      </c>
      <c r="B12" s="156">
        <f>'(수입-교비회계)'!G108</f>
        <v>0</v>
      </c>
      <c r="C12" s="156">
        <f>'(수입-교비회계)'!H108</f>
        <v>0</v>
      </c>
      <c r="D12" s="150">
        <f>SUM(B12/B17)</f>
        <v>0</v>
      </c>
      <c r="E12" s="151">
        <f t="shared" si="1"/>
        <v>0</v>
      </c>
      <c r="F12" s="145" t="s">
        <v>430</v>
      </c>
      <c r="G12" s="152">
        <f>'(지출-교비회계)'!G159</f>
        <v>41386905</v>
      </c>
      <c r="H12" s="152">
        <f>'(지출-교비회계)'!H159</f>
        <v>22760206</v>
      </c>
      <c r="I12" s="153">
        <f>SUM(G12/G17)</f>
        <v>0.26471857051567044</v>
      </c>
      <c r="J12" s="154">
        <f t="shared" si="0"/>
        <v>18626699</v>
      </c>
    </row>
    <row r="13" spans="1:10" s="129" customFormat="1" ht="33.75" customHeight="1">
      <c r="A13" s="145" t="s">
        <v>431</v>
      </c>
      <c r="B13" s="152">
        <v>0</v>
      </c>
      <c r="C13" s="152">
        <v>0</v>
      </c>
      <c r="D13" s="153">
        <f>SUM(B13/B17)</f>
        <v>0</v>
      </c>
      <c r="E13" s="155">
        <f t="shared" si="1"/>
        <v>0</v>
      </c>
      <c r="F13" s="145" t="s">
        <v>432</v>
      </c>
      <c r="G13" s="152">
        <f>'(지출-교비회계)'!G181</f>
        <v>20685238</v>
      </c>
      <c r="H13" s="152">
        <f>'(지출-교비회계)'!H181</f>
        <v>16753000</v>
      </c>
      <c r="I13" s="153">
        <f>SUM(G13/G17)</f>
        <v>0.1323067437426506</v>
      </c>
      <c r="J13" s="154">
        <f t="shared" si="0"/>
        <v>3932238</v>
      </c>
    </row>
    <row r="14" spans="1:10" s="129" customFormat="1" ht="33.75" customHeight="1">
      <c r="A14" s="145" t="s">
        <v>433</v>
      </c>
      <c r="B14" s="152">
        <f>'(수입-교비회계)'!G120</f>
        <v>100400</v>
      </c>
      <c r="C14" s="152">
        <f>'(수입-교비회계)'!H120</f>
        <v>92000</v>
      </c>
      <c r="D14" s="153">
        <f>SUM(B14/B17)</f>
        <v>0.0006421776279181377</v>
      </c>
      <c r="E14" s="155">
        <f t="shared" si="1"/>
        <v>8400</v>
      </c>
      <c r="F14" s="145" t="s">
        <v>434</v>
      </c>
      <c r="G14" s="152">
        <v>0</v>
      </c>
      <c r="H14" s="152">
        <v>0</v>
      </c>
      <c r="I14" s="153">
        <f>SUM(G14/G17)</f>
        <v>0</v>
      </c>
      <c r="J14" s="154">
        <f t="shared" si="0"/>
        <v>0</v>
      </c>
    </row>
    <row r="15" spans="1:10" s="129" customFormat="1" ht="33.75" customHeight="1">
      <c r="A15" s="145"/>
      <c r="B15" s="194"/>
      <c r="C15" s="194"/>
      <c r="D15" s="157"/>
      <c r="E15" s="155"/>
      <c r="F15" s="145" t="s">
        <v>435</v>
      </c>
      <c r="G15" s="152">
        <f>'(지출-교비회계)'!G207</f>
        <v>105415</v>
      </c>
      <c r="H15" s="152">
        <f>'(지출-교비회계)'!H207</f>
        <v>92000</v>
      </c>
      <c r="I15" s="153">
        <f>SUM(G15/G17)</f>
        <v>0.0006742545283564789</v>
      </c>
      <c r="J15" s="154">
        <f t="shared" si="0"/>
        <v>13415</v>
      </c>
    </row>
    <row r="16" spans="1:10" s="129" customFormat="1" ht="33.75" customHeight="1">
      <c r="A16" s="158" t="s">
        <v>186</v>
      </c>
      <c r="B16" s="159">
        <f>'(수입-교비회계)'!G129</f>
        <v>31871736</v>
      </c>
      <c r="C16" s="159">
        <f>'(수입-교비회계)'!H129</f>
        <v>28376022</v>
      </c>
      <c r="D16" s="160">
        <f>SUM(B16/B17)</f>
        <v>0.2038577273118836</v>
      </c>
      <c r="E16" s="161">
        <f>SUM(B16-C16)</f>
        <v>3495714</v>
      </c>
      <c r="F16" s="158" t="s">
        <v>187</v>
      </c>
      <c r="G16" s="159">
        <f>'(지출-교비회계)'!G216</f>
        <v>24107196</v>
      </c>
      <c r="H16" s="159">
        <f>'(지출-교비회계)'!H216</f>
        <v>16311236</v>
      </c>
      <c r="I16" s="160">
        <f>SUM(G16/G17)</f>
        <v>0.15419424246053404</v>
      </c>
      <c r="J16" s="162">
        <f t="shared" si="0"/>
        <v>7795960</v>
      </c>
    </row>
    <row r="17" spans="1:10" s="129" customFormat="1" ht="33.75" customHeight="1">
      <c r="A17" s="163" t="s">
        <v>436</v>
      </c>
      <c r="B17" s="164">
        <f>SUM(B7:B16)</f>
        <v>156343036</v>
      </c>
      <c r="C17" s="164">
        <f>SUM(C7:C16)</f>
        <v>127527178</v>
      </c>
      <c r="D17" s="165">
        <f>SUM(C17/C17)</f>
        <v>1</v>
      </c>
      <c r="E17" s="166">
        <f>SUM(B17-C17)</f>
        <v>28815858</v>
      </c>
      <c r="F17" s="195" t="s">
        <v>437</v>
      </c>
      <c r="G17" s="167">
        <f>SUM(G7:G16)</f>
        <v>156343036</v>
      </c>
      <c r="H17" s="167">
        <f>SUM(H7:H16)</f>
        <v>127527178</v>
      </c>
      <c r="I17" s="168">
        <f>SUM(H17/H17)</f>
        <v>1</v>
      </c>
      <c r="J17" s="169">
        <f>SUM(G17-H17)</f>
        <v>28815858</v>
      </c>
    </row>
    <row r="19" ht="13.5">
      <c r="B19" s="1135"/>
    </row>
    <row r="20" ht="13.5">
      <c r="B20" s="1135"/>
    </row>
    <row r="21" spans="2:7" ht="13.5">
      <c r="B21" s="1135"/>
      <c r="G21" s="1135"/>
    </row>
    <row r="22" spans="2:7" ht="13.5">
      <c r="B22" s="1135"/>
      <c r="G22" s="1135"/>
    </row>
    <row r="23" spans="2:7" ht="13.5">
      <c r="B23" s="1135"/>
      <c r="G23" s="1135"/>
    </row>
    <row r="24" ht="13.5">
      <c r="B24" s="1135"/>
    </row>
    <row r="25" ht="13.5">
      <c r="B25" s="1135"/>
    </row>
    <row r="26" spans="2:7" ht="13.5">
      <c r="B26" s="1135"/>
      <c r="G26" s="1135"/>
    </row>
    <row r="27" ht="13.5">
      <c r="B27" s="1135"/>
    </row>
    <row r="28" spans="2:7" ht="13.5">
      <c r="B28" s="1135"/>
      <c r="G28" s="1136"/>
    </row>
    <row r="30" ht="13.5">
      <c r="G30" s="1136"/>
    </row>
  </sheetData>
  <sheetProtection/>
  <mergeCells count="3">
    <mergeCell ref="A1:J1"/>
    <mergeCell ref="A4:E4"/>
    <mergeCell ref="F4:J4"/>
  </mergeCells>
  <printOptions/>
  <pageMargins left="0.54" right="0.18" top="0.81" bottom="0.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F52"/>
  <sheetViews>
    <sheetView zoomScale="80" zoomScaleNormal="80" zoomScaleSheetLayoutView="40" zoomScalePageLayoutView="0" workbookViewId="0" topLeftCell="H1">
      <selection activeCell="N12" sqref="N12:N14"/>
    </sheetView>
  </sheetViews>
  <sheetFormatPr defaultColWidth="8.88671875" defaultRowHeight="13.5"/>
  <cols>
    <col min="1" max="1" width="8.3359375" style="906" customWidth="1"/>
    <col min="2" max="2" width="16.88671875" style="906" customWidth="1"/>
    <col min="3" max="3" width="13.77734375" style="969" bestFit="1" customWidth="1"/>
    <col min="4" max="5" width="13.77734375" style="969" hidden="1" customWidth="1"/>
    <col min="6" max="6" width="11.5546875" style="969" bestFit="1" customWidth="1"/>
    <col min="7" max="7" width="8.3359375" style="969" customWidth="1"/>
    <col min="8" max="8" width="13.77734375" style="969" bestFit="1" customWidth="1"/>
    <col min="9" max="10" width="12.6640625" style="969" hidden="1" customWidth="1"/>
    <col min="11" max="11" width="12.6640625" style="969" bestFit="1" customWidth="1"/>
    <col min="12" max="12" width="7.21484375" style="969" customWidth="1"/>
    <col min="13" max="13" width="14.10546875" style="969" customWidth="1"/>
    <col min="14" max="14" width="35.21484375" style="969" customWidth="1"/>
    <col min="15" max="15" width="7.4453125" style="906" customWidth="1"/>
    <col min="16" max="16" width="17.77734375" style="906" bestFit="1" customWidth="1"/>
    <col min="17" max="17" width="13.77734375" style="969" bestFit="1" customWidth="1"/>
    <col min="18" max="19" width="13.77734375" style="969" hidden="1" customWidth="1"/>
    <col min="20" max="20" width="11.5546875" style="969" hidden="1" customWidth="1"/>
    <col min="21" max="21" width="8.88671875" style="969" customWidth="1"/>
    <col min="22" max="22" width="13.77734375" style="906" bestFit="1" customWidth="1"/>
    <col min="23" max="24" width="13.88671875" style="906" hidden="1" customWidth="1"/>
    <col min="25" max="25" width="12.6640625" style="906" bestFit="1" customWidth="1"/>
    <col min="26" max="26" width="6.99609375" style="906" customWidth="1"/>
    <col min="27" max="27" width="13.3359375" style="906" customWidth="1"/>
    <col min="28" max="28" width="27.10546875" style="969" customWidth="1"/>
    <col min="29" max="29" width="10.21484375" style="969" customWidth="1"/>
    <col min="30" max="30" width="11.99609375" style="969" customWidth="1"/>
    <col min="31" max="31" width="11.77734375" style="969" customWidth="1"/>
    <col min="32" max="32" width="15.10546875" style="929" customWidth="1"/>
    <col min="33" max="16384" width="8.88671875" style="906" customWidth="1"/>
  </cols>
  <sheetData>
    <row r="2" spans="1:32" ht="27">
      <c r="A2" s="1304" t="s">
        <v>1260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4"/>
      <c r="Y2" s="1304"/>
      <c r="Z2" s="1304"/>
      <c r="AA2" s="1304"/>
      <c r="AB2" s="1304"/>
      <c r="AC2" s="1304"/>
      <c r="AD2" s="1304"/>
      <c r="AE2" s="1304"/>
      <c r="AF2" s="1304"/>
    </row>
    <row r="4" spans="1:32" ht="27.75" customHeight="1">
      <c r="A4" s="907" t="s">
        <v>1076</v>
      </c>
      <c r="O4" s="907" t="s">
        <v>3</v>
      </c>
      <c r="Q4" s="1028"/>
      <c r="R4" s="1028"/>
      <c r="S4" s="1028"/>
      <c r="T4" s="1028"/>
      <c r="AF4" s="908" t="s">
        <v>1077</v>
      </c>
    </row>
    <row r="5" spans="1:32" ht="25.5" customHeight="1">
      <c r="A5" s="1305" t="s">
        <v>1078</v>
      </c>
      <c r="B5" s="1306"/>
      <c r="C5" s="1306"/>
      <c r="D5" s="1306"/>
      <c r="E5" s="1306"/>
      <c r="F5" s="1306"/>
      <c r="G5" s="1306"/>
      <c r="H5" s="1306"/>
      <c r="I5" s="1306"/>
      <c r="J5" s="1306"/>
      <c r="K5" s="1306"/>
      <c r="L5" s="1306"/>
      <c r="M5" s="1306"/>
      <c r="N5" s="1306"/>
      <c r="O5" s="1305" t="s">
        <v>1079</v>
      </c>
      <c r="P5" s="1306"/>
      <c r="Q5" s="1306"/>
      <c r="R5" s="1306"/>
      <c r="S5" s="1306"/>
      <c r="T5" s="1306"/>
      <c r="U5" s="1306"/>
      <c r="V5" s="1306"/>
      <c r="W5" s="1306"/>
      <c r="X5" s="1306"/>
      <c r="Y5" s="1306"/>
      <c r="Z5" s="1306"/>
      <c r="AA5" s="1306"/>
      <c r="AB5" s="1307"/>
      <c r="AC5" s="1307"/>
      <c r="AD5" s="1307"/>
      <c r="AE5" s="1307"/>
      <c r="AF5" s="1308"/>
    </row>
    <row r="6" spans="1:32" ht="25.5" customHeight="1">
      <c r="A6" s="1256" t="s">
        <v>1080</v>
      </c>
      <c r="B6" s="1309"/>
      <c r="C6" s="1312" t="s">
        <v>1377</v>
      </c>
      <c r="D6" s="1313"/>
      <c r="E6" s="1313"/>
      <c r="F6" s="1313"/>
      <c r="G6" s="1313"/>
      <c r="H6" s="1314" t="s">
        <v>1378</v>
      </c>
      <c r="I6" s="1315"/>
      <c r="J6" s="1315"/>
      <c r="K6" s="1315"/>
      <c r="L6" s="1315"/>
      <c r="M6" s="1315"/>
      <c r="N6" s="1316"/>
      <c r="O6" s="1256" t="s">
        <v>1080</v>
      </c>
      <c r="P6" s="1309"/>
      <c r="Q6" s="1312" t="s">
        <v>1494</v>
      </c>
      <c r="R6" s="1313"/>
      <c r="S6" s="1313"/>
      <c r="T6" s="1313"/>
      <c r="U6" s="1313"/>
      <c r="V6" s="1317" t="s">
        <v>1495</v>
      </c>
      <c r="W6" s="1318"/>
      <c r="X6" s="1318"/>
      <c r="Y6" s="1318"/>
      <c r="Z6" s="1318"/>
      <c r="AA6" s="1318"/>
      <c r="AB6" s="1318"/>
      <c r="AC6" s="1318"/>
      <c r="AD6" s="1318"/>
      <c r="AE6" s="1318"/>
      <c r="AF6" s="1319"/>
    </row>
    <row r="7" spans="1:32" ht="25.5" customHeight="1">
      <c r="A7" s="1262"/>
      <c r="B7" s="1242"/>
      <c r="C7" s="1249" t="s">
        <v>1148</v>
      </c>
      <c r="D7" s="1249" t="s">
        <v>1145</v>
      </c>
      <c r="E7" s="1249" t="s">
        <v>1146</v>
      </c>
      <c r="F7" s="1249" t="s">
        <v>1147</v>
      </c>
      <c r="G7" s="1294" t="s">
        <v>1081</v>
      </c>
      <c r="H7" s="1254" t="s">
        <v>1148</v>
      </c>
      <c r="I7" s="1254" t="s">
        <v>1145</v>
      </c>
      <c r="J7" s="1254" t="s">
        <v>1146</v>
      </c>
      <c r="K7" s="1254" t="s">
        <v>1147</v>
      </c>
      <c r="L7" s="1294" t="s">
        <v>1081</v>
      </c>
      <c r="M7" s="1296" t="s">
        <v>1082</v>
      </c>
      <c r="N7" s="1298" t="s">
        <v>121</v>
      </c>
      <c r="O7" s="1262"/>
      <c r="P7" s="1242"/>
      <c r="Q7" s="1249" t="s">
        <v>1148</v>
      </c>
      <c r="R7" s="1249" t="s">
        <v>1145</v>
      </c>
      <c r="S7" s="1249" t="s">
        <v>1146</v>
      </c>
      <c r="T7" s="1249" t="s">
        <v>1147</v>
      </c>
      <c r="U7" s="1293" t="s">
        <v>1081</v>
      </c>
      <c r="V7" s="1252" t="s">
        <v>1148</v>
      </c>
      <c r="W7" s="1252" t="s">
        <v>1145</v>
      </c>
      <c r="X7" s="1252" t="s">
        <v>1146</v>
      </c>
      <c r="Y7" s="1252" t="s">
        <v>1147</v>
      </c>
      <c r="Z7" s="1281" t="s">
        <v>1081</v>
      </c>
      <c r="AA7" s="1282" t="s">
        <v>1082</v>
      </c>
      <c r="AB7" s="1284" t="s">
        <v>1083</v>
      </c>
      <c r="AC7" s="1285"/>
      <c r="AD7" s="1285"/>
      <c r="AE7" s="1286"/>
      <c r="AF7" s="1279" t="s">
        <v>121</v>
      </c>
    </row>
    <row r="8" spans="1:32" ht="31.5" customHeight="1">
      <c r="A8" s="1310"/>
      <c r="B8" s="1311"/>
      <c r="C8" s="1250"/>
      <c r="D8" s="1250"/>
      <c r="E8" s="1250"/>
      <c r="F8" s="1250"/>
      <c r="G8" s="1295"/>
      <c r="H8" s="1250"/>
      <c r="I8" s="1250"/>
      <c r="J8" s="1250"/>
      <c r="K8" s="1250"/>
      <c r="L8" s="1295"/>
      <c r="M8" s="1297"/>
      <c r="N8" s="1299"/>
      <c r="O8" s="1310"/>
      <c r="P8" s="1311"/>
      <c r="Q8" s="1250"/>
      <c r="R8" s="1250"/>
      <c r="S8" s="1250"/>
      <c r="T8" s="1250"/>
      <c r="U8" s="1250"/>
      <c r="V8" s="1253"/>
      <c r="W8" s="1253"/>
      <c r="X8" s="1253"/>
      <c r="Y8" s="1253"/>
      <c r="Z8" s="1253"/>
      <c r="AA8" s="1283"/>
      <c r="AB8" s="988" t="s">
        <v>1084</v>
      </c>
      <c r="AC8" s="970" t="s">
        <v>1496</v>
      </c>
      <c r="AD8" s="971" t="s">
        <v>1497</v>
      </c>
      <c r="AE8" s="988" t="s">
        <v>1085</v>
      </c>
      <c r="AF8" s="1280"/>
    </row>
    <row r="9" spans="1:32" ht="49.5" customHeight="1">
      <c r="A9" s="1289" t="s">
        <v>1086</v>
      </c>
      <c r="B9" s="1290" t="s">
        <v>1087</v>
      </c>
      <c r="C9" s="1227">
        <f>D9+E9-F9</f>
        <v>47236411</v>
      </c>
      <c r="D9" s="1251">
        <f>'(수입-등록금회계)'!E10</f>
        <v>45953411</v>
      </c>
      <c r="E9" s="1251">
        <f>'(수입-비등록금회계)'!E10</f>
        <v>1283000</v>
      </c>
      <c r="F9" s="1251"/>
      <c r="G9" s="1291">
        <f>C9/C45</f>
        <v>0.3704026995720081</v>
      </c>
      <c r="H9" s="1251">
        <f>I9+J9-K9</f>
        <v>47401341</v>
      </c>
      <c r="I9" s="1251">
        <f>'(수입-교비회계)'!D10</f>
        <v>46365601</v>
      </c>
      <c r="J9" s="1251">
        <f>'(수입-교비회계)'!E10</f>
        <v>1035740</v>
      </c>
      <c r="K9" s="1251"/>
      <c r="L9" s="1292">
        <f>H9/H45</f>
        <v>0.30318805501512713</v>
      </c>
      <c r="M9" s="1300">
        <f>SUM(H9-C9)</f>
        <v>164930</v>
      </c>
      <c r="N9" s="1301" t="s">
        <v>1379</v>
      </c>
      <c r="O9" s="1289" t="s">
        <v>1088</v>
      </c>
      <c r="P9" s="1290" t="s">
        <v>1089</v>
      </c>
      <c r="Q9" s="1251">
        <f>R9+S9</f>
        <v>36882132</v>
      </c>
      <c r="R9" s="1251">
        <f>'(지출-등록금회계)'!E9</f>
        <v>33720556</v>
      </c>
      <c r="S9" s="1251">
        <f>'(지출-비등록금회계)'!E9</f>
        <v>3161576</v>
      </c>
      <c r="T9" s="1251"/>
      <c r="U9" s="1291">
        <f>Q9/Q45</f>
        <v>0.2892099753042446</v>
      </c>
      <c r="V9" s="1287">
        <f>W9+X9</f>
        <v>38241667</v>
      </c>
      <c r="W9" s="1287">
        <f>'(지출-교비회계)'!D9</f>
        <v>34818936</v>
      </c>
      <c r="X9" s="1287">
        <f>'(지출-교비회계)'!E9</f>
        <v>3422731</v>
      </c>
      <c r="Y9" s="1287"/>
      <c r="Z9" s="1288">
        <f>V9/V45</f>
        <v>0.24460102591330005</v>
      </c>
      <c r="AA9" s="1278">
        <f>SUM(V9-Q9)</f>
        <v>1359535</v>
      </c>
      <c r="AB9" s="1148" t="s">
        <v>1329</v>
      </c>
      <c r="AC9" s="989">
        <f>'(지출-교비회계)'!H11-'(지출-교비회계)'!H27</f>
        <v>32481356</v>
      </c>
      <c r="AD9" s="990">
        <f>'(지출-교비회계)'!G11-'(지출-교비회계)'!G27</f>
        <v>33517536</v>
      </c>
      <c r="AE9" s="972">
        <f>SUM(AD9-AC9)</f>
        <v>1036180</v>
      </c>
      <c r="AF9" s="931"/>
    </row>
    <row r="10" spans="1:32" ht="39" customHeight="1">
      <c r="A10" s="1289"/>
      <c r="B10" s="1243"/>
      <c r="C10" s="1228"/>
      <c r="D10" s="1228"/>
      <c r="E10" s="1228"/>
      <c r="F10" s="1228"/>
      <c r="G10" s="1276"/>
      <c r="H10" s="1228"/>
      <c r="I10" s="1228"/>
      <c r="J10" s="1228"/>
      <c r="K10" s="1228"/>
      <c r="L10" s="1246"/>
      <c r="M10" s="1241"/>
      <c r="N10" s="1302"/>
      <c r="O10" s="1289"/>
      <c r="P10" s="1243"/>
      <c r="Q10" s="1228"/>
      <c r="R10" s="1228"/>
      <c r="S10" s="1228"/>
      <c r="T10" s="1228"/>
      <c r="U10" s="1276"/>
      <c r="V10" s="1231"/>
      <c r="W10" s="1231"/>
      <c r="X10" s="1231"/>
      <c r="Y10" s="1231"/>
      <c r="Z10" s="1273"/>
      <c r="AA10" s="1270"/>
      <c r="AB10" s="1148" t="s">
        <v>1330</v>
      </c>
      <c r="AC10" s="991">
        <f>'(지출-교비회계)'!H27</f>
        <v>1591000</v>
      </c>
      <c r="AD10" s="992">
        <f>'(지출-교비회계)'!G27</f>
        <v>1699810</v>
      </c>
      <c r="AE10" s="972">
        <f aca="true" t="shared" si="0" ref="AE10:AE39">SUM(AD10-AC10)</f>
        <v>108810</v>
      </c>
      <c r="AF10" s="932"/>
    </row>
    <row r="11" spans="1:32" ht="49.5" customHeight="1">
      <c r="A11" s="1289"/>
      <c r="B11" s="1244"/>
      <c r="C11" s="1229"/>
      <c r="D11" s="1229"/>
      <c r="E11" s="1229"/>
      <c r="F11" s="1229"/>
      <c r="G11" s="1277"/>
      <c r="H11" s="1229"/>
      <c r="I11" s="1229"/>
      <c r="J11" s="1229"/>
      <c r="K11" s="1229"/>
      <c r="L11" s="1247"/>
      <c r="M11" s="1248"/>
      <c r="N11" s="1303"/>
      <c r="O11" s="1289"/>
      <c r="P11" s="1244"/>
      <c r="Q11" s="1229"/>
      <c r="R11" s="1229"/>
      <c r="S11" s="1229"/>
      <c r="T11" s="1229"/>
      <c r="U11" s="1277"/>
      <c r="V11" s="1232"/>
      <c r="W11" s="1232"/>
      <c r="X11" s="1232"/>
      <c r="Y11" s="1232"/>
      <c r="Z11" s="1274"/>
      <c r="AA11" s="1271"/>
      <c r="AB11" s="1148" t="s">
        <v>1331</v>
      </c>
      <c r="AC11" s="991">
        <f>'(지출-교비회계)'!H29</f>
        <v>2809776</v>
      </c>
      <c r="AD11" s="992">
        <f>'(지출-교비회계)'!G29</f>
        <v>3024321</v>
      </c>
      <c r="AE11" s="972">
        <f t="shared" si="0"/>
        <v>214545</v>
      </c>
      <c r="AF11" s="932"/>
    </row>
    <row r="12" spans="1:32" ht="49.5" customHeight="1">
      <c r="A12" s="1256"/>
      <c r="B12" s="1242" t="s">
        <v>1090</v>
      </c>
      <c r="C12" s="1227">
        <f>D12+E12-F12</f>
        <v>30734225</v>
      </c>
      <c r="D12" s="1227">
        <f>'(수입-등록금회계)'!E37</f>
        <v>0</v>
      </c>
      <c r="E12" s="1227">
        <f>'(수입-비등록금회계)'!E36</f>
        <v>34434225</v>
      </c>
      <c r="F12" s="1227">
        <v>3700000</v>
      </c>
      <c r="G12" s="1275">
        <f>C12/C45</f>
        <v>0.24100137305633784</v>
      </c>
      <c r="H12" s="1227">
        <f>I12+J12-K12</f>
        <v>32863664</v>
      </c>
      <c r="I12" s="1227">
        <f>'(수입-교비회계)'!D22</f>
        <v>0</v>
      </c>
      <c r="J12" s="1227">
        <f>'(수입-교비회계)'!E22</f>
        <v>36563664</v>
      </c>
      <c r="K12" s="1227">
        <f>'(수입-교비회계)'!F22</f>
        <v>3700000</v>
      </c>
      <c r="L12" s="1245">
        <f>H12/H45</f>
        <v>0.21020228876711847</v>
      </c>
      <c r="M12" s="1240">
        <f>SUM(H12-C12)</f>
        <v>2129439</v>
      </c>
      <c r="N12" s="1235" t="s">
        <v>1498</v>
      </c>
      <c r="O12" s="1256"/>
      <c r="P12" s="1242" t="s">
        <v>1091</v>
      </c>
      <c r="Q12" s="1227">
        <f>R12+S12</f>
        <v>10136454</v>
      </c>
      <c r="R12" s="1227">
        <f>'(지출-등록금회계)'!E87</f>
        <v>7888284</v>
      </c>
      <c r="S12" s="1227">
        <f>'(지출-비등록금회계)'!E74</f>
        <v>2248170</v>
      </c>
      <c r="T12" s="1227"/>
      <c r="U12" s="1275">
        <f>Q12/Q45</f>
        <v>0.07948465698817549</v>
      </c>
      <c r="V12" s="1230">
        <f>W12+X12</f>
        <v>7003617</v>
      </c>
      <c r="W12" s="1230">
        <f>'(지출-교비회계)'!D45</f>
        <v>5345886</v>
      </c>
      <c r="X12" s="1230">
        <f>'(지출-교비회계)'!E45</f>
        <v>1657731</v>
      </c>
      <c r="Y12" s="1230"/>
      <c r="Z12" s="1272">
        <f>V12/V45</f>
        <v>0.04479647561660501</v>
      </c>
      <c r="AA12" s="1269">
        <f>SUM(V12-Q12)</f>
        <v>-3132837</v>
      </c>
      <c r="AB12" s="993" t="s">
        <v>1092</v>
      </c>
      <c r="AC12" s="994">
        <f>'(지출-교비회계)'!H47</f>
        <v>4450809</v>
      </c>
      <c r="AD12" s="995">
        <f>'(지출-교비회계)'!G47</f>
        <v>3352703</v>
      </c>
      <c r="AE12" s="972">
        <f t="shared" si="0"/>
        <v>-1098106</v>
      </c>
      <c r="AF12" s="932"/>
    </row>
    <row r="13" spans="1:32" ht="49.5" customHeight="1">
      <c r="A13" s="1256"/>
      <c r="B13" s="1243"/>
      <c r="C13" s="1228"/>
      <c r="D13" s="1228"/>
      <c r="E13" s="1228"/>
      <c r="F13" s="1228"/>
      <c r="G13" s="1276"/>
      <c r="H13" s="1228"/>
      <c r="I13" s="1228"/>
      <c r="J13" s="1228"/>
      <c r="K13" s="1228"/>
      <c r="L13" s="1246"/>
      <c r="M13" s="1241"/>
      <c r="N13" s="1236"/>
      <c r="O13" s="1256"/>
      <c r="P13" s="1243"/>
      <c r="Q13" s="1228"/>
      <c r="R13" s="1228"/>
      <c r="S13" s="1228"/>
      <c r="T13" s="1228"/>
      <c r="U13" s="1276"/>
      <c r="V13" s="1231"/>
      <c r="W13" s="1231"/>
      <c r="X13" s="1231"/>
      <c r="Y13" s="1231"/>
      <c r="Z13" s="1273"/>
      <c r="AA13" s="1270"/>
      <c r="AB13" s="993" t="s">
        <v>1093</v>
      </c>
      <c r="AC13" s="994">
        <f>'(지출-교비회계)'!H65</f>
        <v>2236745</v>
      </c>
      <c r="AD13" s="995">
        <f>'(지출-교비회계)'!G65</f>
        <v>1920545</v>
      </c>
      <c r="AE13" s="972">
        <f t="shared" si="0"/>
        <v>-316200</v>
      </c>
      <c r="AF13" s="932"/>
    </row>
    <row r="14" spans="1:32" ht="49.5" customHeight="1">
      <c r="A14" s="1256"/>
      <c r="B14" s="1244"/>
      <c r="C14" s="1229"/>
      <c r="D14" s="1229"/>
      <c r="E14" s="1229"/>
      <c r="F14" s="1229"/>
      <c r="G14" s="1277"/>
      <c r="H14" s="1229"/>
      <c r="I14" s="1229"/>
      <c r="J14" s="1229"/>
      <c r="K14" s="1229"/>
      <c r="L14" s="1247"/>
      <c r="M14" s="1248"/>
      <c r="N14" s="1237"/>
      <c r="O14" s="1256"/>
      <c r="P14" s="1244"/>
      <c r="Q14" s="1229"/>
      <c r="R14" s="1229"/>
      <c r="S14" s="1229"/>
      <c r="T14" s="1229"/>
      <c r="U14" s="1277"/>
      <c r="V14" s="1232"/>
      <c r="W14" s="1232"/>
      <c r="X14" s="1232"/>
      <c r="Y14" s="1232"/>
      <c r="Z14" s="1274"/>
      <c r="AA14" s="1271"/>
      <c r="AB14" s="993" t="s">
        <v>1094</v>
      </c>
      <c r="AC14" s="994">
        <f>'(지출-교비회계)'!H85</f>
        <v>3448900</v>
      </c>
      <c r="AD14" s="995">
        <f>'(지출-교비회계)'!G85</f>
        <v>1730369</v>
      </c>
      <c r="AE14" s="972">
        <f t="shared" si="0"/>
        <v>-1718531</v>
      </c>
      <c r="AF14" s="932"/>
    </row>
    <row r="15" spans="1:32" ht="18" customHeight="1">
      <c r="A15" s="1256"/>
      <c r="B15" s="1242" t="s">
        <v>1095</v>
      </c>
      <c r="C15" s="1227">
        <f>D15+E15-F15</f>
        <v>3127000</v>
      </c>
      <c r="D15" s="1227">
        <f>'(수입-등록금회계)'!E79</f>
        <v>0</v>
      </c>
      <c r="E15" s="1227">
        <f>'(수입-비등록금회계)'!E91</f>
        <v>3127000</v>
      </c>
      <c r="F15" s="1227"/>
      <c r="G15" s="1275">
        <f>C15/C45</f>
        <v>0.024520263437492515</v>
      </c>
      <c r="H15" s="1227">
        <f>I15+J15</f>
        <v>3193227</v>
      </c>
      <c r="I15" s="1227">
        <f>'(수입-교비회계)'!D58</f>
        <v>0</v>
      </c>
      <c r="J15" s="1227">
        <f>'(수입-교비회계)'!E58</f>
        <v>3193227</v>
      </c>
      <c r="K15" s="1227"/>
      <c r="L15" s="1245">
        <f>H15/H45</f>
        <v>0.020424491436893934</v>
      </c>
      <c r="M15" s="1240">
        <f>SUM(H15-C15)</f>
        <v>66227</v>
      </c>
      <c r="N15" s="1235" t="s">
        <v>1499</v>
      </c>
      <c r="O15" s="1256"/>
      <c r="P15" s="1242" t="s">
        <v>1096</v>
      </c>
      <c r="Q15" s="1227">
        <f>R15+S15</f>
        <v>23352150</v>
      </c>
      <c r="R15" s="1227">
        <f>'(지출-등록금회계)'!E386</f>
        <v>11439150</v>
      </c>
      <c r="S15" s="1227">
        <f>'(지출-비등록금회계)'!E294</f>
        <v>11913000</v>
      </c>
      <c r="T15" s="1227"/>
      <c r="U15" s="1275">
        <f>Q15/Q45</f>
        <v>0.1831150846919862</v>
      </c>
      <c r="V15" s="1230">
        <f>W15+X15</f>
        <v>23472978</v>
      </c>
      <c r="W15" s="1230">
        <f>'(지출-교비회계)'!D105</f>
        <v>10713464</v>
      </c>
      <c r="X15" s="1230">
        <f>'(지출-교비회계)'!E105</f>
        <v>12759514</v>
      </c>
      <c r="Y15" s="1230"/>
      <c r="Z15" s="1272">
        <f>V15/V45</f>
        <v>0.15013766267146048</v>
      </c>
      <c r="AA15" s="1269">
        <f>SUM(V15-Q15)</f>
        <v>120828</v>
      </c>
      <c r="AB15" s="996" t="s">
        <v>1097</v>
      </c>
      <c r="AC15" s="972">
        <f>'(지출-교비회계)'!H107</f>
        <v>817000</v>
      </c>
      <c r="AD15" s="997">
        <f>'(지출-교비회계)'!G107</f>
        <v>682443</v>
      </c>
      <c r="AE15" s="972">
        <f t="shared" si="0"/>
        <v>-134557</v>
      </c>
      <c r="AF15" s="932"/>
    </row>
    <row r="16" spans="1:32" ht="18" customHeight="1">
      <c r="A16" s="1256"/>
      <c r="B16" s="1243"/>
      <c r="C16" s="1228"/>
      <c r="D16" s="1228"/>
      <c r="E16" s="1228"/>
      <c r="F16" s="1228"/>
      <c r="G16" s="1276"/>
      <c r="H16" s="1228"/>
      <c r="I16" s="1228"/>
      <c r="J16" s="1228"/>
      <c r="K16" s="1228"/>
      <c r="L16" s="1246"/>
      <c r="M16" s="1241"/>
      <c r="N16" s="1236"/>
      <c r="O16" s="1256"/>
      <c r="P16" s="1243"/>
      <c r="Q16" s="1228"/>
      <c r="R16" s="1228"/>
      <c r="S16" s="1228"/>
      <c r="T16" s="1228"/>
      <c r="U16" s="1276"/>
      <c r="V16" s="1231"/>
      <c r="W16" s="1231"/>
      <c r="X16" s="1231"/>
      <c r="Y16" s="1231"/>
      <c r="Z16" s="1273"/>
      <c r="AA16" s="1270"/>
      <c r="AB16" s="996" t="s">
        <v>1098</v>
      </c>
      <c r="AC16" s="972">
        <f>'(지출-교비회계)'!H115+'(지출-교비회계)'!H117</f>
        <v>20330000</v>
      </c>
      <c r="AD16" s="997">
        <f>'(지출-교비회계)'!G115+'(지출-교비회계)'!G117</f>
        <v>21217619</v>
      </c>
      <c r="AE16" s="972">
        <f t="shared" si="0"/>
        <v>887619</v>
      </c>
      <c r="AF16" s="932"/>
    </row>
    <row r="17" spans="1:32" ht="18" customHeight="1">
      <c r="A17" s="1256"/>
      <c r="B17" s="1243"/>
      <c r="C17" s="1228"/>
      <c r="D17" s="1228"/>
      <c r="E17" s="1228"/>
      <c r="F17" s="1228"/>
      <c r="G17" s="1276"/>
      <c r="H17" s="1228"/>
      <c r="I17" s="1228"/>
      <c r="J17" s="1228"/>
      <c r="K17" s="1228"/>
      <c r="L17" s="1246"/>
      <c r="M17" s="1241"/>
      <c r="N17" s="1236"/>
      <c r="O17" s="1256"/>
      <c r="P17" s="1243"/>
      <c r="Q17" s="1228"/>
      <c r="R17" s="1228"/>
      <c r="S17" s="1228"/>
      <c r="T17" s="1228"/>
      <c r="U17" s="1276"/>
      <c r="V17" s="1231"/>
      <c r="W17" s="1231"/>
      <c r="X17" s="1231"/>
      <c r="Y17" s="1231"/>
      <c r="Z17" s="1273"/>
      <c r="AA17" s="1270"/>
      <c r="AB17" s="996" t="s">
        <v>1099</v>
      </c>
      <c r="AC17" s="972">
        <f>'(지출-교비회계)'!H119</f>
        <v>521000</v>
      </c>
      <c r="AD17" s="997">
        <f>'(지출-교비회계)'!G119</f>
        <v>432854</v>
      </c>
      <c r="AE17" s="972">
        <f t="shared" si="0"/>
        <v>-88146</v>
      </c>
      <c r="AF17" s="933"/>
    </row>
    <row r="18" spans="1:32" ht="18" customHeight="1">
      <c r="A18" s="1256"/>
      <c r="B18" s="1243"/>
      <c r="C18" s="1228">
        <f>D18+E18-F18</f>
        <v>0</v>
      </c>
      <c r="D18" s="1228"/>
      <c r="E18" s="1228"/>
      <c r="F18" s="1228"/>
      <c r="G18" s="1276"/>
      <c r="H18" s="1228"/>
      <c r="I18" s="1228"/>
      <c r="J18" s="1228"/>
      <c r="K18" s="1228"/>
      <c r="L18" s="1246"/>
      <c r="M18" s="1241"/>
      <c r="N18" s="1236"/>
      <c r="O18" s="1256"/>
      <c r="P18" s="1243"/>
      <c r="Q18" s="1228"/>
      <c r="R18" s="1228"/>
      <c r="S18" s="1228"/>
      <c r="T18" s="1228"/>
      <c r="U18" s="1276"/>
      <c r="V18" s="1231"/>
      <c r="W18" s="1231"/>
      <c r="X18" s="1231"/>
      <c r="Y18" s="1231"/>
      <c r="Z18" s="1273"/>
      <c r="AA18" s="1270"/>
      <c r="AB18" s="996" t="s">
        <v>1100</v>
      </c>
      <c r="AC18" s="972">
        <f>'(지출-교비회계)'!H121</f>
        <v>39050</v>
      </c>
      <c r="AD18" s="997">
        <f>'(지출-교비회계)'!G121</f>
        <v>10200</v>
      </c>
      <c r="AE18" s="972">
        <f t="shared" si="0"/>
        <v>-28850</v>
      </c>
      <c r="AF18" s="933"/>
    </row>
    <row r="19" spans="1:32" ht="18" customHeight="1">
      <c r="A19" s="1256"/>
      <c r="B19" s="1243"/>
      <c r="C19" s="1228"/>
      <c r="D19" s="1228"/>
      <c r="E19" s="1228"/>
      <c r="F19" s="1228"/>
      <c r="G19" s="1276"/>
      <c r="H19" s="1228"/>
      <c r="I19" s="1228"/>
      <c r="J19" s="1228"/>
      <c r="K19" s="1228"/>
      <c r="L19" s="1246"/>
      <c r="M19" s="1241"/>
      <c r="N19" s="1236"/>
      <c r="O19" s="1256"/>
      <c r="P19" s="1243"/>
      <c r="Q19" s="1228"/>
      <c r="R19" s="1228"/>
      <c r="S19" s="1228"/>
      <c r="T19" s="1228"/>
      <c r="U19" s="1276"/>
      <c r="V19" s="1231"/>
      <c r="W19" s="1231"/>
      <c r="X19" s="1231"/>
      <c r="Y19" s="1231"/>
      <c r="Z19" s="1273"/>
      <c r="AA19" s="1270"/>
      <c r="AB19" s="996" t="s">
        <v>1101</v>
      </c>
      <c r="AC19" s="972">
        <f>'(지출-교비회계)'!H123</f>
        <v>528100</v>
      </c>
      <c r="AD19" s="997">
        <f>'(지출-교비회계)'!G123</f>
        <v>258863</v>
      </c>
      <c r="AE19" s="972">
        <f t="shared" si="0"/>
        <v>-269237</v>
      </c>
      <c r="AF19" s="932"/>
    </row>
    <row r="20" spans="1:32" ht="18" customHeight="1">
      <c r="A20" s="1256"/>
      <c r="B20" s="1243"/>
      <c r="C20" s="1228"/>
      <c r="D20" s="1228"/>
      <c r="E20" s="1228"/>
      <c r="F20" s="1228"/>
      <c r="G20" s="1276"/>
      <c r="H20" s="1228"/>
      <c r="I20" s="1228"/>
      <c r="J20" s="1228"/>
      <c r="K20" s="1228"/>
      <c r="L20" s="1246"/>
      <c r="M20" s="1241"/>
      <c r="N20" s="1236"/>
      <c r="O20" s="1256"/>
      <c r="P20" s="1243"/>
      <c r="Q20" s="1228"/>
      <c r="R20" s="1228"/>
      <c r="S20" s="1228"/>
      <c r="T20" s="1228"/>
      <c r="U20" s="1276"/>
      <c r="V20" s="1231"/>
      <c r="W20" s="1231"/>
      <c r="X20" s="1231"/>
      <c r="Y20" s="1231"/>
      <c r="Z20" s="1273"/>
      <c r="AA20" s="1270"/>
      <c r="AB20" s="996" t="s">
        <v>1493</v>
      </c>
      <c r="AC20" s="972">
        <f>'(지출-교비회계)'!H125</f>
        <v>137000</v>
      </c>
      <c r="AD20" s="997">
        <f>'(지출-교비회계)'!G125</f>
        <v>55524</v>
      </c>
      <c r="AE20" s="972">
        <f t="shared" si="0"/>
        <v>-81476</v>
      </c>
      <c r="AF20" s="932"/>
    </row>
    <row r="21" spans="1:32" ht="18" customHeight="1">
      <c r="A21" s="1256"/>
      <c r="B21" s="1244"/>
      <c r="C21" s="1229"/>
      <c r="D21" s="1229"/>
      <c r="E21" s="1229"/>
      <c r="F21" s="1229"/>
      <c r="G21" s="1277"/>
      <c r="H21" s="1229"/>
      <c r="I21" s="1229"/>
      <c r="J21" s="1229"/>
      <c r="K21" s="1229"/>
      <c r="L21" s="1247"/>
      <c r="M21" s="1248"/>
      <c r="N21" s="1237"/>
      <c r="O21" s="1256"/>
      <c r="P21" s="1244"/>
      <c r="Q21" s="1229"/>
      <c r="R21" s="1229"/>
      <c r="S21" s="1229"/>
      <c r="T21" s="1229"/>
      <c r="U21" s="1277"/>
      <c r="V21" s="1232"/>
      <c r="W21" s="1232"/>
      <c r="X21" s="1232"/>
      <c r="Y21" s="1232"/>
      <c r="Z21" s="1274"/>
      <c r="AA21" s="1271"/>
      <c r="AB21" s="996" t="s">
        <v>1102</v>
      </c>
      <c r="AC21" s="972">
        <f>'(지출-교비회계)'!H127</f>
        <v>980000</v>
      </c>
      <c r="AD21" s="997">
        <f>'(지출-교비회계)'!G127</f>
        <v>815475</v>
      </c>
      <c r="AE21" s="972">
        <f t="shared" si="0"/>
        <v>-164525</v>
      </c>
      <c r="AF21" s="932"/>
    </row>
    <row r="22" spans="1:32" ht="34.5" customHeight="1">
      <c r="A22" s="1256"/>
      <c r="B22" s="909" t="s">
        <v>1103</v>
      </c>
      <c r="C22" s="1011">
        <f>D22+E22-F22</f>
        <v>2959520</v>
      </c>
      <c r="D22" s="1011">
        <f>'(수입-등록금회계)'!E102</f>
        <v>810000</v>
      </c>
      <c r="E22" s="1011">
        <f>'(수입-비등록금회계)'!E122</f>
        <v>2149520</v>
      </c>
      <c r="F22" s="1011"/>
      <c r="G22" s="1012">
        <f>C22/C45</f>
        <v>0.023206974751687832</v>
      </c>
      <c r="H22" s="1011">
        <f>I22+J22</f>
        <v>2630825</v>
      </c>
      <c r="I22" s="1011">
        <f>'(수입-교비회계)'!D78</f>
        <v>749700</v>
      </c>
      <c r="J22" s="1011">
        <f>'(수입-교비회계)'!E78</f>
        <v>1881125</v>
      </c>
      <c r="K22" s="1011"/>
      <c r="L22" s="1021">
        <f>H22/H45</f>
        <v>0.016827260537527235</v>
      </c>
      <c r="M22" s="1022">
        <f>SUM(H22-C22)</f>
        <v>-328695</v>
      </c>
      <c r="N22" s="979" t="s">
        <v>1500</v>
      </c>
      <c r="O22" s="1256"/>
      <c r="P22" s="909" t="s">
        <v>1104</v>
      </c>
      <c r="Q22" s="1011">
        <f>R22+S22</f>
        <v>40000</v>
      </c>
      <c r="R22" s="1011">
        <f>'(지출-등록금회계)'!E499</f>
        <v>30000</v>
      </c>
      <c r="S22" s="1011">
        <f>'(지출-비등록금회계)'!E413</f>
        <v>10000</v>
      </c>
      <c r="T22" s="1011"/>
      <c r="U22" s="1012">
        <f>Q22/Q45</f>
        <v>0.0003136586304763993</v>
      </c>
      <c r="V22" s="918">
        <f>W22+X22</f>
        <v>40020</v>
      </c>
      <c r="W22" s="918">
        <f>'(지출-교비회계)'!D133</f>
        <v>17998</v>
      </c>
      <c r="X22" s="918">
        <f>'(지출-교비회계)'!E133</f>
        <v>22022</v>
      </c>
      <c r="Y22" s="918"/>
      <c r="Z22" s="919">
        <f>V22/V45</f>
        <v>0.000255975584355417</v>
      </c>
      <c r="AA22" s="921">
        <f>SUM(V22-Q22)</f>
        <v>20</v>
      </c>
      <c r="AB22" s="993" t="s">
        <v>1105</v>
      </c>
      <c r="AC22" s="998">
        <f>'(지출-교비회계)'!H133</f>
        <v>40000</v>
      </c>
      <c r="AD22" s="999">
        <f>'(지출-교비회계)'!G133</f>
        <v>40020</v>
      </c>
      <c r="AE22" s="998">
        <f>SUM(AD22-AC22)</f>
        <v>20</v>
      </c>
      <c r="AF22" s="932"/>
    </row>
    <row r="23" spans="1:32" ht="19.5" customHeight="1">
      <c r="A23" s="1256"/>
      <c r="B23" s="912"/>
      <c r="C23" s="1008"/>
      <c r="D23" s="1008"/>
      <c r="E23" s="1008"/>
      <c r="F23" s="1008"/>
      <c r="G23" s="1009"/>
      <c r="H23" s="1008"/>
      <c r="I23" s="1008"/>
      <c r="J23" s="1008"/>
      <c r="K23" s="1008"/>
      <c r="L23" s="1018"/>
      <c r="M23" s="1019"/>
      <c r="N23" s="980"/>
      <c r="O23" s="1256"/>
      <c r="P23" s="936" t="s">
        <v>1204</v>
      </c>
      <c r="Q23" s="1008">
        <f>R23+S23-T23</f>
        <v>0</v>
      </c>
      <c r="R23" s="1008">
        <f>'(지출-등록금회계)'!E515</f>
        <v>3700000</v>
      </c>
      <c r="S23" s="1008">
        <f>'(지출-비등록금회계)'!E431</f>
        <v>0</v>
      </c>
      <c r="T23" s="1008">
        <v>3700000</v>
      </c>
      <c r="U23" s="1029">
        <f>Q23/Q44</f>
        <v>0</v>
      </c>
      <c r="V23" s="913">
        <f>W23+X23-Y23</f>
        <v>0</v>
      </c>
      <c r="W23" s="913">
        <f>'(지출-교비회계)'!D143</f>
        <v>3700000</v>
      </c>
      <c r="X23" s="913">
        <f>'(지출-교비회계)'!E143</f>
        <v>0</v>
      </c>
      <c r="Y23" s="913">
        <v>3700000</v>
      </c>
      <c r="Z23" s="930"/>
      <c r="AA23" s="914"/>
      <c r="AB23" s="996"/>
      <c r="AC23" s="972"/>
      <c r="AD23" s="997"/>
      <c r="AE23" s="972"/>
      <c r="AF23" s="967"/>
    </row>
    <row r="24" spans="1:32" ht="19.5" customHeight="1">
      <c r="A24" s="1256"/>
      <c r="B24" s="912"/>
      <c r="C24" s="1008"/>
      <c r="D24" s="1008"/>
      <c r="E24" s="1008"/>
      <c r="F24" s="1008"/>
      <c r="G24" s="1013"/>
      <c r="H24" s="1008"/>
      <c r="I24" s="1008"/>
      <c r="J24" s="1008"/>
      <c r="K24" s="1008"/>
      <c r="L24" s="1023"/>
      <c r="M24" s="1024"/>
      <c r="N24" s="981"/>
      <c r="O24" s="1256"/>
      <c r="P24" s="909" t="s">
        <v>1106</v>
      </c>
      <c r="Q24" s="1008">
        <f>R24+S24</f>
        <v>1200000</v>
      </c>
      <c r="R24" s="1011">
        <f>'(지출-등록금회계)'!E523</f>
        <v>600000</v>
      </c>
      <c r="S24" s="1011">
        <f>'(지출-비등록금회계)'!E439</f>
        <v>600000</v>
      </c>
      <c r="T24" s="1011"/>
      <c r="U24" s="1030">
        <f>Q24/Q45</f>
        <v>0.00940975891429198</v>
      </c>
      <c r="V24" s="913">
        <f>W24+X24</f>
        <v>1300000</v>
      </c>
      <c r="W24" s="918">
        <f>'(지출-교비회계)'!D153</f>
        <v>700000</v>
      </c>
      <c r="X24" s="918">
        <f>'(지출-교비회계)'!E153</f>
        <v>600000</v>
      </c>
      <c r="Y24" s="918"/>
      <c r="Z24" s="919">
        <f>V24/V45</f>
        <v>0.00831504896706752</v>
      </c>
      <c r="AA24" s="914">
        <f>SUM(V24-Q24)</f>
        <v>100000</v>
      </c>
      <c r="AB24" s="996" t="s">
        <v>1107</v>
      </c>
      <c r="AC24" s="972">
        <f>'(지출-교비회계)'!H153</f>
        <v>1200000</v>
      </c>
      <c r="AD24" s="997">
        <f>'(지출-교비회계)'!G153</f>
        <v>1300000</v>
      </c>
      <c r="AE24" s="972">
        <f t="shared" si="0"/>
        <v>100000</v>
      </c>
      <c r="AF24" s="934"/>
    </row>
    <row r="25" spans="1:32" ht="19.5" customHeight="1">
      <c r="A25" s="1256"/>
      <c r="B25" s="909" t="s">
        <v>1108</v>
      </c>
      <c r="C25" s="1011">
        <f>D25+E25-F25</f>
        <v>84057156</v>
      </c>
      <c r="D25" s="1011">
        <f>+D9+D12+D15+D22</f>
        <v>46763411</v>
      </c>
      <c r="E25" s="1011">
        <f>+E9+E12+E15+E22</f>
        <v>40993745</v>
      </c>
      <c r="F25" s="1011">
        <f>SUM(F9:F22)</f>
        <v>3700000</v>
      </c>
      <c r="G25" s="1014">
        <f>C25/C45</f>
        <v>0.6591313108175263</v>
      </c>
      <c r="H25" s="1011">
        <f>SUM(H9:H22)</f>
        <v>86089057</v>
      </c>
      <c r="I25" s="1011">
        <f>SUM(I9:I22)</f>
        <v>47115301</v>
      </c>
      <c r="J25" s="1011">
        <f>SUM(J9:J22)</f>
        <v>42673756</v>
      </c>
      <c r="K25" s="1011">
        <f>SUM(K9:K22)</f>
        <v>3700000</v>
      </c>
      <c r="L25" s="1025">
        <f>H25/H45</f>
        <v>0.5506420957566668</v>
      </c>
      <c r="M25" s="1019">
        <f>SUM(H25-C25)</f>
        <v>2031901</v>
      </c>
      <c r="N25" s="982"/>
      <c r="O25" s="1256"/>
      <c r="P25" s="909" t="s">
        <v>1108</v>
      </c>
      <c r="Q25" s="1011">
        <f>SUM(Q9:Q24)</f>
        <v>71610736</v>
      </c>
      <c r="R25" s="1011">
        <f>SUM(R9:R24)</f>
        <v>57377990</v>
      </c>
      <c r="S25" s="1011">
        <f>SUM(S9:S24)</f>
        <v>17932746</v>
      </c>
      <c r="T25" s="1011">
        <f>SUM(T9:T24)</f>
        <v>3700000</v>
      </c>
      <c r="U25" s="1031">
        <f>Q25/Q45</f>
        <v>0.5615331345291746</v>
      </c>
      <c r="V25" s="918">
        <f>SUM(V9:V24)</f>
        <v>70058282</v>
      </c>
      <c r="W25" s="918">
        <f>SUM(W9:W24)</f>
        <v>55296284</v>
      </c>
      <c r="X25" s="918">
        <f>SUM(X9:X24)</f>
        <v>18461998</v>
      </c>
      <c r="Y25" s="918">
        <f>SUM(Y9:Y24)</f>
        <v>3700000</v>
      </c>
      <c r="Z25" s="920">
        <f>V25/V45</f>
        <v>0.44810618875278846</v>
      </c>
      <c r="AA25" s="914">
        <f>SUM(V25-Q25)</f>
        <v>-1552454</v>
      </c>
      <c r="AB25" s="972"/>
      <c r="AC25" s="998"/>
      <c r="AD25" s="998"/>
      <c r="AE25" s="972">
        <f t="shared" si="0"/>
        <v>0</v>
      </c>
      <c r="AF25" s="935"/>
    </row>
    <row r="26" spans="1:32" ht="19.5" customHeight="1">
      <c r="A26" s="1255" t="s">
        <v>1109</v>
      </c>
      <c r="B26" s="1242" t="s">
        <v>1110</v>
      </c>
      <c r="C26" s="1227">
        <f>+D26+E26-F26</f>
        <v>15002000</v>
      </c>
      <c r="D26" s="1227">
        <f>'(수입-등록금회계)'!E119</f>
        <v>0</v>
      </c>
      <c r="E26" s="1227">
        <f>'(수입-비등록금회계)'!E140</f>
        <v>15002000</v>
      </c>
      <c r="F26" s="1227"/>
      <c r="G26" s="1233">
        <f>C26/C45</f>
        <v>0.11763766936017356</v>
      </c>
      <c r="H26" s="1227">
        <f>I26+J26-K26</f>
        <v>38281843</v>
      </c>
      <c r="I26" s="1227">
        <f>'(수입-교비회계)'!D88</f>
        <v>0</v>
      </c>
      <c r="J26" s="1227">
        <f>'(수입-교비회계)'!E88</f>
        <v>38281843</v>
      </c>
      <c r="K26" s="1227">
        <f>'(지출-교비회계)'!F171</f>
        <v>0</v>
      </c>
      <c r="L26" s="1238">
        <f>H26/H45</f>
        <v>0.2448579993035315</v>
      </c>
      <c r="M26" s="1240">
        <f>SUM(H26-C26)</f>
        <v>23279843</v>
      </c>
      <c r="N26" s="1235" t="s">
        <v>1501</v>
      </c>
      <c r="O26" s="1255" t="s">
        <v>1111</v>
      </c>
      <c r="P26" s="1242" t="s">
        <v>1112</v>
      </c>
      <c r="Q26" s="1227">
        <f>R26+S26</f>
        <v>22760206</v>
      </c>
      <c r="R26" s="1227">
        <f>'(지출-등록금회계)'!E529</f>
        <v>0</v>
      </c>
      <c r="S26" s="1227">
        <f>'(지출-비등록금회계)'!E445</f>
        <v>22760206</v>
      </c>
      <c r="T26" s="1227"/>
      <c r="U26" s="1233">
        <f>Q26/Q45</f>
        <v>0.17847337608301816</v>
      </c>
      <c r="V26" s="1230">
        <f>W26+X26-Y26</f>
        <v>41386905</v>
      </c>
      <c r="W26" s="1230">
        <f>'(지출-교비회계)'!D159</f>
        <v>0</v>
      </c>
      <c r="X26" s="1230">
        <f>'(지출-교비회계)'!E159</f>
        <v>41386905</v>
      </c>
      <c r="Y26" s="1230">
        <f>'(지출-교비회계)'!F171</f>
        <v>0</v>
      </c>
      <c r="Z26" s="1266">
        <f>V26/V45</f>
        <v>0.26471857051567044</v>
      </c>
      <c r="AA26" s="1269">
        <f>SUM(V26-Q26)</f>
        <v>18626699</v>
      </c>
      <c r="AB26" s="996" t="s">
        <v>1113</v>
      </c>
      <c r="AC26" s="972">
        <f>'(지출-교비회계)'!H167</f>
        <v>0</v>
      </c>
      <c r="AD26" s="997">
        <f>'(지출-교비회계)'!G167</f>
        <v>0</v>
      </c>
      <c r="AE26" s="972">
        <f t="shared" si="0"/>
        <v>0</v>
      </c>
      <c r="AF26" s="932"/>
    </row>
    <row r="27" spans="1:32" ht="19.5" customHeight="1">
      <c r="A27" s="1255"/>
      <c r="B27" s="1243"/>
      <c r="C27" s="1228"/>
      <c r="D27" s="1228"/>
      <c r="E27" s="1228"/>
      <c r="F27" s="1228"/>
      <c r="G27" s="1234"/>
      <c r="H27" s="1228"/>
      <c r="I27" s="1228"/>
      <c r="J27" s="1228"/>
      <c r="K27" s="1228"/>
      <c r="L27" s="1239"/>
      <c r="M27" s="1241"/>
      <c r="N27" s="1236"/>
      <c r="O27" s="1255"/>
      <c r="P27" s="1243"/>
      <c r="Q27" s="1228"/>
      <c r="R27" s="1228"/>
      <c r="S27" s="1228"/>
      <c r="T27" s="1228"/>
      <c r="U27" s="1234"/>
      <c r="V27" s="1231"/>
      <c r="W27" s="1231"/>
      <c r="X27" s="1231"/>
      <c r="Y27" s="1231"/>
      <c r="Z27" s="1267"/>
      <c r="AA27" s="1270"/>
      <c r="AB27" s="996" t="s">
        <v>1114</v>
      </c>
      <c r="AC27" s="972">
        <f>'(지출-교비회계)'!H169</f>
        <v>0</v>
      </c>
      <c r="AD27" s="997">
        <f>'(지출-교비회계)'!G169</f>
        <v>0</v>
      </c>
      <c r="AE27" s="972">
        <f>SUM(AD27-AC27)</f>
        <v>0</v>
      </c>
      <c r="AF27" s="932"/>
    </row>
    <row r="28" spans="1:32" ht="19.5" customHeight="1">
      <c r="A28" s="1255"/>
      <c r="B28" s="1243"/>
      <c r="C28" s="1228"/>
      <c r="D28" s="1228"/>
      <c r="E28" s="1228"/>
      <c r="F28" s="1228"/>
      <c r="G28" s="1234"/>
      <c r="H28" s="1228"/>
      <c r="I28" s="1228"/>
      <c r="J28" s="1228"/>
      <c r="K28" s="1228"/>
      <c r="L28" s="1239"/>
      <c r="M28" s="1241"/>
      <c r="N28" s="1236"/>
      <c r="O28" s="1255"/>
      <c r="P28" s="1243"/>
      <c r="Q28" s="1228"/>
      <c r="R28" s="1228"/>
      <c r="S28" s="1228"/>
      <c r="T28" s="1228"/>
      <c r="U28" s="1234"/>
      <c r="V28" s="1231"/>
      <c r="W28" s="1231"/>
      <c r="X28" s="1231"/>
      <c r="Y28" s="1231"/>
      <c r="Z28" s="1267"/>
      <c r="AA28" s="1270"/>
      <c r="AB28" s="996" t="s">
        <v>1115</v>
      </c>
      <c r="AC28" s="972">
        <f>'(지출-교비회계)'!H173</f>
        <v>25000</v>
      </c>
      <c r="AD28" s="997">
        <f>'(지출-교비회계)'!G173</f>
        <v>11372</v>
      </c>
      <c r="AE28" s="972">
        <f>SUM(AD28-AC28)</f>
        <v>-13628</v>
      </c>
      <c r="AF28" s="932"/>
    </row>
    <row r="29" spans="1:32" ht="19.5" customHeight="1">
      <c r="A29" s="1255"/>
      <c r="B29" s="1243"/>
      <c r="C29" s="1228"/>
      <c r="D29" s="1228"/>
      <c r="E29" s="1228"/>
      <c r="F29" s="1228"/>
      <c r="G29" s="1234"/>
      <c r="H29" s="1228"/>
      <c r="I29" s="1228"/>
      <c r="J29" s="1228"/>
      <c r="K29" s="1228"/>
      <c r="L29" s="1239"/>
      <c r="M29" s="1241"/>
      <c r="N29" s="1236"/>
      <c r="O29" s="1255"/>
      <c r="P29" s="1243"/>
      <c r="Q29" s="1228"/>
      <c r="R29" s="1228"/>
      <c r="S29" s="1228"/>
      <c r="T29" s="1228"/>
      <c r="U29" s="1234"/>
      <c r="V29" s="1231"/>
      <c r="W29" s="1231"/>
      <c r="X29" s="1231"/>
      <c r="Y29" s="1231"/>
      <c r="Z29" s="1267"/>
      <c r="AA29" s="1270"/>
      <c r="AB29" s="996" t="s">
        <v>1116</v>
      </c>
      <c r="AC29" s="972">
        <f>'(지출-교비회계)'!H175</f>
        <v>5471000</v>
      </c>
      <c r="AD29" s="997">
        <f>'(지출-교비회계)'!G175</f>
        <v>41031342</v>
      </c>
      <c r="AE29" s="972">
        <f t="shared" si="0"/>
        <v>35560342</v>
      </c>
      <c r="AF29" s="932"/>
    </row>
    <row r="30" spans="1:32" ht="19.5" customHeight="1">
      <c r="A30" s="1255"/>
      <c r="B30" s="1243"/>
      <c r="C30" s="1228"/>
      <c r="D30" s="1228"/>
      <c r="E30" s="1228"/>
      <c r="F30" s="1228"/>
      <c r="G30" s="1234"/>
      <c r="H30" s="1228"/>
      <c r="I30" s="1228"/>
      <c r="J30" s="1228"/>
      <c r="K30" s="1228"/>
      <c r="L30" s="1239"/>
      <c r="M30" s="1241"/>
      <c r="N30" s="1236"/>
      <c r="O30" s="1255"/>
      <c r="P30" s="1243"/>
      <c r="Q30" s="1228"/>
      <c r="R30" s="1228"/>
      <c r="S30" s="1228"/>
      <c r="T30" s="1228"/>
      <c r="U30" s="1234"/>
      <c r="V30" s="1231"/>
      <c r="W30" s="1231"/>
      <c r="X30" s="1231"/>
      <c r="Y30" s="1231"/>
      <c r="Z30" s="1267"/>
      <c r="AA30" s="1270"/>
      <c r="AB30" s="996" t="s">
        <v>1117</v>
      </c>
      <c r="AC30" s="972">
        <f>'(지출-교비회계)'!H177</f>
        <v>65000</v>
      </c>
      <c r="AD30" s="997">
        <f>'(지출-교비회계)'!G177</f>
        <v>85973</v>
      </c>
      <c r="AE30" s="972">
        <f>SUM(AD30-AC30)</f>
        <v>20973</v>
      </c>
      <c r="AF30" s="932"/>
    </row>
    <row r="31" spans="1:32" ht="19.5" customHeight="1">
      <c r="A31" s="1255"/>
      <c r="B31" s="1243"/>
      <c r="C31" s="1228"/>
      <c r="D31" s="1228"/>
      <c r="E31" s="1228"/>
      <c r="F31" s="1228"/>
      <c r="G31" s="1234"/>
      <c r="H31" s="1228"/>
      <c r="I31" s="1228"/>
      <c r="J31" s="1228"/>
      <c r="K31" s="1228"/>
      <c r="L31" s="1239"/>
      <c r="M31" s="1241"/>
      <c r="N31" s="1236"/>
      <c r="O31" s="1255"/>
      <c r="P31" s="1243"/>
      <c r="Q31" s="1228"/>
      <c r="R31" s="1228"/>
      <c r="S31" s="1228"/>
      <c r="T31" s="1228"/>
      <c r="U31" s="1234"/>
      <c r="V31" s="1231"/>
      <c r="W31" s="1231"/>
      <c r="X31" s="1231"/>
      <c r="Y31" s="1231"/>
      <c r="Z31" s="1267"/>
      <c r="AA31" s="1270"/>
      <c r="AB31" s="996" t="s">
        <v>1118</v>
      </c>
      <c r="AC31" s="972">
        <f>'(지출-교비회계)'!H179</f>
        <v>17199206</v>
      </c>
      <c r="AD31" s="997">
        <f>'(지출-교비회계)'!G179</f>
        <v>258218</v>
      </c>
      <c r="AE31" s="972">
        <f t="shared" si="0"/>
        <v>-16940988</v>
      </c>
      <c r="AF31" s="932"/>
    </row>
    <row r="32" spans="1:32" ht="19.5" customHeight="1">
      <c r="A32" s="1256"/>
      <c r="B32" s="1242" t="s">
        <v>1119</v>
      </c>
      <c r="C32" s="1227">
        <f>+D32+E32-F32</f>
        <v>0</v>
      </c>
      <c r="D32" s="1227">
        <f>'(수입-등록금회계)'!E140</f>
        <v>0</v>
      </c>
      <c r="E32" s="1227">
        <f>'(수입-비등록금회계)'!E162</f>
        <v>0</v>
      </c>
      <c r="F32" s="1227"/>
      <c r="G32" s="1233">
        <f>C32/C45</f>
        <v>0</v>
      </c>
      <c r="H32" s="1227">
        <f>I32+J32</f>
        <v>0</v>
      </c>
      <c r="I32" s="1227">
        <f>'(수입-교비회계)'!D108</f>
        <v>0</v>
      </c>
      <c r="J32" s="1227">
        <f>'(수입-교비회계)'!E108</f>
        <v>0</v>
      </c>
      <c r="K32" s="1227"/>
      <c r="L32" s="1238">
        <f>H32/H45</f>
        <v>0</v>
      </c>
      <c r="M32" s="1240">
        <f>SUM(H32-C32)</f>
        <v>0</v>
      </c>
      <c r="N32" s="1259"/>
      <c r="O32" s="1256"/>
      <c r="P32" s="1242" t="s">
        <v>432</v>
      </c>
      <c r="Q32" s="1227">
        <f>R32+S32</f>
        <v>16753000</v>
      </c>
      <c r="R32" s="1227">
        <f>'(지출-등록금회계)'!E551</f>
        <v>1753000</v>
      </c>
      <c r="S32" s="1227">
        <f>'(지출-비등록금회계)'!E470</f>
        <v>15000000</v>
      </c>
      <c r="T32" s="1227"/>
      <c r="U32" s="1233">
        <f>Q32/Q45</f>
        <v>0.13136807590927793</v>
      </c>
      <c r="V32" s="1230">
        <f>W32+X32</f>
        <v>20685238</v>
      </c>
      <c r="W32" s="1230">
        <f>'(지출-교비회계)'!D181</f>
        <v>1418517</v>
      </c>
      <c r="X32" s="1230">
        <f>'(지출-교비회계)'!E181</f>
        <v>19266721</v>
      </c>
      <c r="Y32" s="1230"/>
      <c r="Z32" s="1266">
        <f>V32/V45</f>
        <v>0.1323067437426506</v>
      </c>
      <c r="AA32" s="1269">
        <f>SUM(V32-Q32)</f>
        <v>3932238</v>
      </c>
      <c r="AB32" s="993" t="s">
        <v>1120</v>
      </c>
      <c r="AC32" s="994">
        <f>'(지출-교비회계)'!H185</f>
        <v>0</v>
      </c>
      <c r="AD32" s="1000">
        <f>'(지출-교비회계)'!G185</f>
        <v>0</v>
      </c>
      <c r="AE32" s="998">
        <f t="shared" si="0"/>
        <v>0</v>
      </c>
      <c r="AF32" s="932" t="s">
        <v>1121</v>
      </c>
    </row>
    <row r="33" spans="1:32" ht="19.5" customHeight="1">
      <c r="A33" s="1256"/>
      <c r="B33" s="1243"/>
      <c r="C33" s="1228"/>
      <c r="D33" s="1228"/>
      <c r="E33" s="1228"/>
      <c r="F33" s="1228"/>
      <c r="G33" s="1234"/>
      <c r="H33" s="1228"/>
      <c r="I33" s="1228"/>
      <c r="J33" s="1228"/>
      <c r="K33" s="1228"/>
      <c r="L33" s="1239"/>
      <c r="M33" s="1241"/>
      <c r="N33" s="1260"/>
      <c r="O33" s="1256"/>
      <c r="P33" s="1243"/>
      <c r="Q33" s="1228"/>
      <c r="R33" s="1228"/>
      <c r="S33" s="1228"/>
      <c r="T33" s="1228"/>
      <c r="U33" s="1234"/>
      <c r="V33" s="1231"/>
      <c r="W33" s="1231"/>
      <c r="X33" s="1231"/>
      <c r="Y33" s="1231"/>
      <c r="Z33" s="1267"/>
      <c r="AA33" s="1270"/>
      <c r="AB33" s="996" t="s">
        <v>1122</v>
      </c>
      <c r="AC33" s="991">
        <f>'(지출-교비회계)'!H191</f>
        <v>1000000</v>
      </c>
      <c r="AD33" s="1001">
        <f>'(지출-교비회계)'!G191</f>
        <v>801525</v>
      </c>
      <c r="AE33" s="972">
        <f t="shared" si="0"/>
        <v>-198475</v>
      </c>
      <c r="AF33" s="932"/>
    </row>
    <row r="34" spans="1:32" ht="19.5" customHeight="1">
      <c r="A34" s="1256"/>
      <c r="B34" s="1243"/>
      <c r="C34" s="1228"/>
      <c r="D34" s="1228"/>
      <c r="E34" s="1228"/>
      <c r="F34" s="1228"/>
      <c r="G34" s="1234"/>
      <c r="H34" s="1228"/>
      <c r="I34" s="1228"/>
      <c r="J34" s="1228"/>
      <c r="K34" s="1228"/>
      <c r="L34" s="1239"/>
      <c r="M34" s="1241"/>
      <c r="N34" s="1260"/>
      <c r="O34" s="1256"/>
      <c r="P34" s="1243"/>
      <c r="Q34" s="1228"/>
      <c r="R34" s="1228"/>
      <c r="S34" s="1228"/>
      <c r="T34" s="1228"/>
      <c r="U34" s="1234"/>
      <c r="V34" s="1231"/>
      <c r="W34" s="1231"/>
      <c r="X34" s="1231"/>
      <c r="Y34" s="1231"/>
      <c r="Z34" s="1267"/>
      <c r="AA34" s="1270"/>
      <c r="AB34" s="996" t="s">
        <v>1123</v>
      </c>
      <c r="AC34" s="991">
        <f>'(지출-교비회계)'!H193</f>
        <v>120000</v>
      </c>
      <c r="AD34" s="1001">
        <f>'(지출-교비회계)'!G193</f>
        <v>28492</v>
      </c>
      <c r="AE34" s="972">
        <f t="shared" si="0"/>
        <v>-91508</v>
      </c>
      <c r="AF34" s="932"/>
    </row>
    <row r="35" spans="1:32" ht="19.5" customHeight="1">
      <c r="A35" s="1256"/>
      <c r="B35" s="1243"/>
      <c r="C35" s="1228"/>
      <c r="D35" s="1228"/>
      <c r="E35" s="1228"/>
      <c r="F35" s="1228"/>
      <c r="G35" s="1234"/>
      <c r="H35" s="1228"/>
      <c r="I35" s="1228"/>
      <c r="J35" s="1228"/>
      <c r="K35" s="1228"/>
      <c r="L35" s="1239"/>
      <c r="M35" s="1241"/>
      <c r="N35" s="1260"/>
      <c r="O35" s="1256"/>
      <c r="P35" s="1243"/>
      <c r="Q35" s="1228"/>
      <c r="R35" s="1228"/>
      <c r="S35" s="1228"/>
      <c r="T35" s="1228"/>
      <c r="U35" s="1234"/>
      <c r="V35" s="1231"/>
      <c r="W35" s="1231"/>
      <c r="X35" s="1231"/>
      <c r="Y35" s="1231"/>
      <c r="Z35" s="1267"/>
      <c r="AA35" s="1270"/>
      <c r="AB35" s="996" t="s">
        <v>1124</v>
      </c>
      <c r="AC35" s="972">
        <f>'(지출-교비회계)'!H195</f>
        <v>15000</v>
      </c>
      <c r="AD35" s="972">
        <f>'(지출-교비회계)'!G195</f>
        <v>0</v>
      </c>
      <c r="AE35" s="972">
        <f>SUM(AD35-AC35)</f>
        <v>-15000</v>
      </c>
      <c r="AF35" s="932"/>
    </row>
    <row r="36" spans="1:32" ht="19.5" customHeight="1">
      <c r="A36" s="1256"/>
      <c r="B36" s="1243"/>
      <c r="C36" s="1228"/>
      <c r="D36" s="1228"/>
      <c r="E36" s="1228"/>
      <c r="F36" s="1228"/>
      <c r="G36" s="1234"/>
      <c r="H36" s="1228"/>
      <c r="I36" s="1228"/>
      <c r="J36" s="1228"/>
      <c r="K36" s="1228"/>
      <c r="L36" s="1239"/>
      <c r="M36" s="1241"/>
      <c r="N36" s="1260"/>
      <c r="O36" s="1256"/>
      <c r="P36" s="1243"/>
      <c r="Q36" s="1228"/>
      <c r="R36" s="1228"/>
      <c r="S36" s="1228"/>
      <c r="T36" s="1228"/>
      <c r="U36" s="1234"/>
      <c r="V36" s="1231"/>
      <c r="W36" s="1231"/>
      <c r="X36" s="1231"/>
      <c r="Y36" s="1231"/>
      <c r="Z36" s="1267"/>
      <c r="AA36" s="1270"/>
      <c r="AB36" s="996" t="s">
        <v>1125</v>
      </c>
      <c r="AC36" s="991">
        <f>'(지출-교비회계)'!H197</f>
        <v>618000</v>
      </c>
      <c r="AD36" s="1001">
        <f>'(지출-교비회계)'!G197</f>
        <v>630320</v>
      </c>
      <c r="AE36" s="972">
        <f>SUM(AD36-AC36)</f>
        <v>12320</v>
      </c>
      <c r="AF36" s="932"/>
    </row>
    <row r="37" spans="1:32" ht="19.5" customHeight="1">
      <c r="A37" s="1256"/>
      <c r="B37" s="1243"/>
      <c r="C37" s="1228"/>
      <c r="D37" s="1228"/>
      <c r="E37" s="1228"/>
      <c r="F37" s="1228"/>
      <c r="G37" s="1234"/>
      <c r="H37" s="1228"/>
      <c r="I37" s="1228"/>
      <c r="J37" s="1228"/>
      <c r="K37" s="1228"/>
      <c r="L37" s="1239"/>
      <c r="M37" s="1241"/>
      <c r="N37" s="1260"/>
      <c r="O37" s="1256"/>
      <c r="P37" s="1243"/>
      <c r="Q37" s="1228"/>
      <c r="R37" s="1228"/>
      <c r="S37" s="1228"/>
      <c r="T37" s="1228"/>
      <c r="U37" s="1234"/>
      <c r="V37" s="1231"/>
      <c r="W37" s="1231"/>
      <c r="X37" s="1231"/>
      <c r="Y37" s="1231"/>
      <c r="Z37" s="1267"/>
      <c r="AA37" s="1270"/>
      <c r="AB37" s="996" t="s">
        <v>1126</v>
      </c>
      <c r="AC37" s="991">
        <f>'(지출-교비회계)'!H199</f>
        <v>0</v>
      </c>
      <c r="AD37" s="1001">
        <f>'(지출-교비회계)'!G199</f>
        <v>0</v>
      </c>
      <c r="AE37" s="972">
        <f>SUM(AD37-AC37)</f>
        <v>0</v>
      </c>
      <c r="AF37" s="932"/>
    </row>
    <row r="38" spans="1:32" ht="19.5" customHeight="1">
      <c r="A38" s="1256"/>
      <c r="B38" s="1244"/>
      <c r="C38" s="1229"/>
      <c r="D38" s="1229"/>
      <c r="E38" s="1229"/>
      <c r="F38" s="1229"/>
      <c r="G38" s="1264"/>
      <c r="H38" s="1229"/>
      <c r="I38" s="1229"/>
      <c r="J38" s="1229"/>
      <c r="K38" s="1229"/>
      <c r="L38" s="1265"/>
      <c r="M38" s="1248"/>
      <c r="N38" s="1261"/>
      <c r="O38" s="1256"/>
      <c r="P38" s="1244"/>
      <c r="Q38" s="1229"/>
      <c r="R38" s="1229"/>
      <c r="S38" s="1229"/>
      <c r="T38" s="1229"/>
      <c r="U38" s="1264"/>
      <c r="V38" s="1232"/>
      <c r="W38" s="1232"/>
      <c r="X38" s="1232"/>
      <c r="Y38" s="1232"/>
      <c r="Z38" s="1268"/>
      <c r="AA38" s="1271"/>
      <c r="AB38" s="996" t="s">
        <v>1127</v>
      </c>
      <c r="AC38" s="991">
        <f>'(지출-교비회계)'!H201</f>
        <v>15000000</v>
      </c>
      <c r="AD38" s="1001">
        <f>'(지출-교비회계)'!G201</f>
        <v>19224901</v>
      </c>
      <c r="AE38" s="972">
        <f t="shared" si="0"/>
        <v>4224901</v>
      </c>
      <c r="AF38" s="932"/>
    </row>
    <row r="39" spans="1:32" ht="25.5" customHeight="1">
      <c r="A39" s="1256"/>
      <c r="B39" s="912" t="s">
        <v>1128</v>
      </c>
      <c r="C39" s="1008">
        <f>+D39+E39-F39</f>
        <v>0</v>
      </c>
      <c r="D39" s="1008">
        <v>0</v>
      </c>
      <c r="E39" s="1008">
        <v>0</v>
      </c>
      <c r="F39" s="1008"/>
      <c r="G39" s="1009">
        <f>C39/C45</f>
        <v>0</v>
      </c>
      <c r="H39" s="1008">
        <v>0</v>
      </c>
      <c r="I39" s="1008">
        <v>0</v>
      </c>
      <c r="J39" s="1008">
        <v>0</v>
      </c>
      <c r="K39" s="1008"/>
      <c r="L39" s="1018">
        <f>H39/H45</f>
        <v>0</v>
      </c>
      <c r="M39" s="1019">
        <f aca="true" t="shared" si="1" ref="M39:M45">SUM(H39-C39)</f>
        <v>0</v>
      </c>
      <c r="N39" s="983"/>
      <c r="O39" s="1256"/>
      <c r="P39" s="912" t="s">
        <v>1129</v>
      </c>
      <c r="Q39" s="1008">
        <v>0</v>
      </c>
      <c r="R39" s="1008">
        <v>0</v>
      </c>
      <c r="S39" s="1008">
        <v>0</v>
      </c>
      <c r="T39" s="1008"/>
      <c r="U39" s="1029">
        <f>Q39/Q45</f>
        <v>0</v>
      </c>
      <c r="V39" s="913">
        <v>0</v>
      </c>
      <c r="W39" s="913">
        <v>0</v>
      </c>
      <c r="X39" s="913">
        <v>0</v>
      </c>
      <c r="Y39" s="913"/>
      <c r="Z39" s="930">
        <f>V39/V45</f>
        <v>0</v>
      </c>
      <c r="AA39" s="914">
        <f aca="true" t="shared" si="2" ref="AA39:AA45">SUM(V39-Q39)</f>
        <v>0</v>
      </c>
      <c r="AB39" s="972"/>
      <c r="AC39" s="972">
        <f>'(지출-교비회계)'!H203</f>
        <v>0</v>
      </c>
      <c r="AD39" s="973">
        <f>'(지출-교비회계)'!G203</f>
        <v>0</v>
      </c>
      <c r="AE39" s="972">
        <f t="shared" si="0"/>
        <v>0</v>
      </c>
      <c r="AF39" s="968"/>
    </row>
    <row r="40" spans="1:32" ht="28.5" customHeight="1">
      <c r="A40" s="1256"/>
      <c r="B40" s="909" t="s">
        <v>1130</v>
      </c>
      <c r="C40" s="1011">
        <f>+D40+E40-F40</f>
        <v>92000</v>
      </c>
      <c r="D40" s="1011">
        <f>'(수입-등록금회계)'!E153</f>
        <v>0</v>
      </c>
      <c r="E40" s="1011">
        <f>'(수입-비등록금회계)'!E175</f>
        <v>92000</v>
      </c>
      <c r="F40" s="1011"/>
      <c r="G40" s="1012">
        <f>C40/C45</f>
        <v>0.0007214148500957184</v>
      </c>
      <c r="H40" s="966">
        <f>I40+J40</f>
        <v>100400</v>
      </c>
      <c r="I40" s="1011">
        <f>'(수입-교비회계)'!D120</f>
        <v>0</v>
      </c>
      <c r="J40" s="1011">
        <f>'(수입-교비회계)'!E120</f>
        <v>100400</v>
      </c>
      <c r="K40" s="1011"/>
      <c r="L40" s="1021">
        <f>H40/H45</f>
        <v>0.0006421776279181377</v>
      </c>
      <c r="M40" s="1019">
        <f t="shared" si="1"/>
        <v>8400</v>
      </c>
      <c r="N40" s="984" t="s">
        <v>1502</v>
      </c>
      <c r="O40" s="1256"/>
      <c r="P40" s="909" t="s">
        <v>1131</v>
      </c>
      <c r="Q40" s="966">
        <f>R40+S40</f>
        <v>92000</v>
      </c>
      <c r="R40" s="1011">
        <f>'(지출-등록금회계)'!E600</f>
        <v>0</v>
      </c>
      <c r="S40" s="1011">
        <f>'(지출-비등록금회계)'!E531</f>
        <v>92000</v>
      </c>
      <c r="T40" s="1011"/>
      <c r="U40" s="1030">
        <f>Q40/Q45</f>
        <v>0.0007214148500957184</v>
      </c>
      <c r="V40" s="915">
        <f>W40+X40</f>
        <v>105415</v>
      </c>
      <c r="W40" s="918">
        <f>'(지출-교비회계)'!D207</f>
        <v>0</v>
      </c>
      <c r="X40" s="918">
        <f>'(지출-교비회계)'!E207</f>
        <v>105415</v>
      </c>
      <c r="Y40" s="918"/>
      <c r="Z40" s="919">
        <f>V40/V45</f>
        <v>0.0006742545283564789</v>
      </c>
      <c r="AA40" s="914">
        <f t="shared" si="2"/>
        <v>13415</v>
      </c>
      <c r="AB40" s="984" t="s">
        <v>1132</v>
      </c>
      <c r="AC40" s="1002"/>
      <c r="AD40" s="1003"/>
      <c r="AE40" s="972">
        <f>SUM(AD40-AC40)</f>
        <v>0</v>
      </c>
      <c r="AF40" s="917"/>
    </row>
    <row r="41" spans="1:32" ht="28.5" customHeight="1">
      <c r="A41" s="1256"/>
      <c r="B41" s="909" t="s">
        <v>1108</v>
      </c>
      <c r="C41" s="1011">
        <f>+C40+C39+C32+C26</f>
        <v>15094000</v>
      </c>
      <c r="D41" s="1011">
        <f>+D40+D39+D32+D26</f>
        <v>0</v>
      </c>
      <c r="E41" s="1011">
        <f>+E40+E39+E32+E26</f>
        <v>15094000</v>
      </c>
      <c r="F41" s="1011">
        <f>+F40+F39+F32+F26</f>
        <v>0</v>
      </c>
      <c r="G41" s="1012">
        <f>C41/C45</f>
        <v>0.11835908421026928</v>
      </c>
      <c r="H41" s="966">
        <f>I41+J41</f>
        <v>38382243</v>
      </c>
      <c r="I41" s="1011">
        <f>SUM(I26:I40)</f>
        <v>0</v>
      </c>
      <c r="J41" s="1011">
        <f>SUM(J26:J40)</f>
        <v>38382243</v>
      </c>
      <c r="K41" s="1011">
        <f>SUM(K26:K40)</f>
        <v>0</v>
      </c>
      <c r="L41" s="1021">
        <f>H41/H45</f>
        <v>0.24550017693144963</v>
      </c>
      <c r="M41" s="1019">
        <f t="shared" si="1"/>
        <v>23288243</v>
      </c>
      <c r="N41" s="985"/>
      <c r="O41" s="1256"/>
      <c r="P41" s="909" t="s">
        <v>1108</v>
      </c>
      <c r="Q41" s="966">
        <f>R41+S41</f>
        <v>39605206</v>
      </c>
      <c r="R41" s="1011">
        <f>+R40+R39+R32+R26</f>
        <v>1753000</v>
      </c>
      <c r="S41" s="1011">
        <f>+S40+S39+S32+S26</f>
        <v>37852206</v>
      </c>
      <c r="T41" s="1011"/>
      <c r="U41" s="1030">
        <f>Q41/Q45</f>
        <v>0.3105628668423918</v>
      </c>
      <c r="V41" s="915">
        <f>W41+X41</f>
        <v>62177558</v>
      </c>
      <c r="W41" s="918">
        <f>SUM(W26:W40)</f>
        <v>1418517</v>
      </c>
      <c r="X41" s="918">
        <f>SUM(X26:X40)</f>
        <v>60759041</v>
      </c>
      <c r="Y41" s="918">
        <f>SUM(Y26:Y40)</f>
        <v>0</v>
      </c>
      <c r="Z41" s="919">
        <f>V41/V45</f>
        <v>0.3976995687866775</v>
      </c>
      <c r="AA41" s="914">
        <f t="shared" si="2"/>
        <v>22572352</v>
      </c>
      <c r="AB41" s="1004" t="s">
        <v>1133</v>
      </c>
      <c r="AC41" s="974">
        <f>'(지출-교비회계)'!H213</f>
        <v>92000</v>
      </c>
      <c r="AD41" s="974">
        <f>'(지출-교비회계)'!G213</f>
        <v>105415</v>
      </c>
      <c r="AE41" s="972">
        <f>SUM(AD41-AC41)</f>
        <v>13415</v>
      </c>
      <c r="AF41" s="922"/>
    </row>
    <row r="42" spans="1:32" ht="28.5" customHeight="1">
      <c r="A42" s="1255" t="s">
        <v>1134</v>
      </c>
      <c r="B42" s="909" t="s">
        <v>1135</v>
      </c>
      <c r="C42" s="1011">
        <f>+D42+E42</f>
        <v>0</v>
      </c>
      <c r="D42" s="1011"/>
      <c r="E42" s="1011"/>
      <c r="F42" s="1011"/>
      <c r="G42" s="1012">
        <f>C42/C45</f>
        <v>0</v>
      </c>
      <c r="H42" s="1011"/>
      <c r="I42" s="1011"/>
      <c r="J42" s="1011"/>
      <c r="K42" s="1011"/>
      <c r="L42" s="1021">
        <f>H42/H45</f>
        <v>0</v>
      </c>
      <c r="M42" s="1019">
        <f t="shared" si="1"/>
        <v>0</v>
      </c>
      <c r="N42" s="985"/>
      <c r="O42" s="1255" t="s">
        <v>1136</v>
      </c>
      <c r="P42" s="909" t="s">
        <v>1137</v>
      </c>
      <c r="Q42" s="966">
        <f>R42+S42</f>
        <v>0</v>
      </c>
      <c r="R42" s="1011">
        <v>0</v>
      </c>
      <c r="S42" s="1011">
        <v>0</v>
      </c>
      <c r="T42" s="1011"/>
      <c r="U42" s="1030">
        <f>Q42/Q45</f>
        <v>0</v>
      </c>
      <c r="V42" s="918"/>
      <c r="W42" s="918"/>
      <c r="X42" s="918"/>
      <c r="Y42" s="918"/>
      <c r="Z42" s="919">
        <f>V42/V45</f>
        <v>0</v>
      </c>
      <c r="AA42" s="914">
        <f t="shared" si="2"/>
        <v>0</v>
      </c>
      <c r="AB42" s="972"/>
      <c r="AC42" s="972"/>
      <c r="AD42" s="973"/>
      <c r="AE42" s="972"/>
      <c r="AF42" s="922"/>
    </row>
    <row r="43" spans="1:32" ht="28.5" customHeight="1">
      <c r="A43" s="1256"/>
      <c r="B43" s="909" t="s">
        <v>1138</v>
      </c>
      <c r="C43" s="1011">
        <f>+D43+E43</f>
        <v>0</v>
      </c>
      <c r="D43" s="1011"/>
      <c r="E43" s="1011"/>
      <c r="F43" s="1011"/>
      <c r="G43" s="1012">
        <f>C43/C45</f>
        <v>0</v>
      </c>
      <c r="H43" s="1011"/>
      <c r="I43" s="1011"/>
      <c r="J43" s="1011"/>
      <c r="K43" s="1011"/>
      <c r="L43" s="1021">
        <f>H43/H45</f>
        <v>0</v>
      </c>
      <c r="M43" s="1019">
        <f t="shared" si="1"/>
        <v>0</v>
      </c>
      <c r="N43" s="985"/>
      <c r="O43" s="1255"/>
      <c r="P43" s="909" t="s">
        <v>1139</v>
      </c>
      <c r="Q43" s="966">
        <f>R43+S43</f>
        <v>0</v>
      </c>
      <c r="R43" s="1011">
        <v>0</v>
      </c>
      <c r="S43" s="1011">
        <v>0</v>
      </c>
      <c r="T43" s="1011"/>
      <c r="U43" s="1030">
        <f>Q43/Q45</f>
        <v>0</v>
      </c>
      <c r="V43" s="918"/>
      <c r="W43" s="918"/>
      <c r="X43" s="918"/>
      <c r="Y43" s="918"/>
      <c r="Z43" s="919">
        <f>V43/V45</f>
        <v>0</v>
      </c>
      <c r="AA43" s="914">
        <f t="shared" si="2"/>
        <v>0</v>
      </c>
      <c r="AB43" s="972"/>
      <c r="AC43" s="972"/>
      <c r="AD43" s="973"/>
      <c r="AE43" s="972"/>
      <c r="AF43" s="922"/>
    </row>
    <row r="44" spans="1:32" ht="28.5" customHeight="1">
      <c r="A44" s="1262"/>
      <c r="B44" s="910" t="s">
        <v>1140</v>
      </c>
      <c r="C44" s="966">
        <f>D44+E44</f>
        <v>28376022</v>
      </c>
      <c r="D44" s="966">
        <f>'(수입-등록금회계)'!E164</f>
        <v>13823718</v>
      </c>
      <c r="E44" s="966">
        <f>'(수입-비등록금회계)'!E186</f>
        <v>14552304</v>
      </c>
      <c r="F44" s="966"/>
      <c r="G44" s="1010">
        <f>C44/C45</f>
        <v>0.22250960497220443</v>
      </c>
      <c r="H44" s="966">
        <f>I44+J44+1</f>
        <v>31871736</v>
      </c>
      <c r="I44" s="966">
        <f>'(수입-교비회계)'!D129</f>
        <v>16296817</v>
      </c>
      <c r="J44" s="966">
        <f>'(수입-교비회계)'!E129</f>
        <v>15574918</v>
      </c>
      <c r="K44" s="966"/>
      <c r="L44" s="1020">
        <f>H44/H45</f>
        <v>0.2038577273118836</v>
      </c>
      <c r="M44" s="1017">
        <f t="shared" si="1"/>
        <v>3495714</v>
      </c>
      <c r="N44" s="986"/>
      <c r="O44" s="1263"/>
      <c r="P44" s="910" t="s">
        <v>1141</v>
      </c>
      <c r="Q44" s="966">
        <f>R44+S44</f>
        <v>16311236</v>
      </c>
      <c r="R44" s="966">
        <f>D45-R9-R12-R15-R22-R23-R24-R26-R32-R39-R40</f>
        <v>1456139</v>
      </c>
      <c r="S44" s="966">
        <f>E45-S9-S12-S15-S22-S24-S26-S32-S39-S40</f>
        <v>14855097</v>
      </c>
      <c r="T44" s="966"/>
      <c r="U44" s="1032">
        <f>Q44/Q45</f>
        <v>0.12790399862843355</v>
      </c>
      <c r="V44" s="915">
        <f>W44+X44+1</f>
        <v>24107196</v>
      </c>
      <c r="W44" s="966">
        <f>I45-W9-W12-W15-W22-W23-W24-W26-W32-W39-W40</f>
        <v>6697317</v>
      </c>
      <c r="X44" s="966">
        <f>J45-X9-X12-X15-X22-X24-X26-X32-X39-X40</f>
        <v>17409878</v>
      </c>
      <c r="Y44" s="915"/>
      <c r="Z44" s="916">
        <f>V44/V45</f>
        <v>0.15419424246053404</v>
      </c>
      <c r="AA44" s="911">
        <f t="shared" si="2"/>
        <v>7795960</v>
      </c>
      <c r="AB44" s="1005"/>
      <c r="AC44" s="975">
        <f>Q44</f>
        <v>16311236</v>
      </c>
      <c r="AD44" s="976">
        <f>V44</f>
        <v>24107196</v>
      </c>
      <c r="AE44" s="972">
        <f>SUM(AD44-AC44)</f>
        <v>7795960</v>
      </c>
      <c r="AF44" s="923" t="s">
        <v>3</v>
      </c>
    </row>
    <row r="45" spans="1:32" ht="28.5" customHeight="1">
      <c r="A45" s="1257" t="s">
        <v>1142</v>
      </c>
      <c r="B45" s="1258"/>
      <c r="C45" s="1015">
        <f>+C44+C41+C25</f>
        <v>127527178</v>
      </c>
      <c r="D45" s="1015">
        <f>+D44+D41+D25</f>
        <v>60587129</v>
      </c>
      <c r="E45" s="1015">
        <f>+E44+E41+E25</f>
        <v>70640049</v>
      </c>
      <c r="F45" s="1015">
        <f>F44+F41+F25</f>
        <v>3700000</v>
      </c>
      <c r="G45" s="1016">
        <f>C45/C45</f>
        <v>1</v>
      </c>
      <c r="H45" s="1015">
        <f>I45+J45-K45+1</f>
        <v>156343036</v>
      </c>
      <c r="I45" s="1015">
        <f>SUM(I44,I41,I25)</f>
        <v>63412118</v>
      </c>
      <c r="J45" s="1015">
        <f>SUM(J44,J41,J25)</f>
        <v>96630917</v>
      </c>
      <c r="K45" s="1015">
        <f>SUM(K44,K41,K25)</f>
        <v>3700000</v>
      </c>
      <c r="L45" s="1026">
        <f>H45/H45</f>
        <v>1</v>
      </c>
      <c r="M45" s="1027">
        <f t="shared" si="1"/>
        <v>28815858</v>
      </c>
      <c r="N45" s="987"/>
      <c r="O45" s="1257" t="s">
        <v>1143</v>
      </c>
      <c r="P45" s="1258"/>
      <c r="Q45" s="1015">
        <f>R45+S45-T45</f>
        <v>127527178</v>
      </c>
      <c r="R45" s="1015">
        <f>R25+R41+R44</f>
        <v>60587129</v>
      </c>
      <c r="S45" s="1015">
        <f>S25+S41+S44</f>
        <v>70640049</v>
      </c>
      <c r="T45" s="1015">
        <f>T25+T41+T44</f>
        <v>3700000</v>
      </c>
      <c r="U45" s="1033">
        <f>Q45/Q45</f>
        <v>1</v>
      </c>
      <c r="V45" s="924">
        <f>W45+X45-Y45+1</f>
        <v>156343036</v>
      </c>
      <c r="W45" s="924">
        <f>W25+W41+W44</f>
        <v>63412118</v>
      </c>
      <c r="X45" s="924">
        <f>X25+X41+X44</f>
        <v>96630917</v>
      </c>
      <c r="Y45" s="924">
        <f>Y25+Y41+Y44</f>
        <v>3700000</v>
      </c>
      <c r="Z45" s="925">
        <f>V45/V45</f>
        <v>1</v>
      </c>
      <c r="AA45" s="926">
        <f t="shared" si="2"/>
        <v>28815858</v>
      </c>
      <c r="AB45" s="1006" t="s">
        <v>1144</v>
      </c>
      <c r="AC45" s="977">
        <f>SUM(AC9:AC44)</f>
        <v>127527178</v>
      </c>
      <c r="AD45" s="977">
        <f>SUM(AD9:AD44)</f>
        <v>156343036</v>
      </c>
      <c r="AE45" s="977">
        <f>SUM(AE9:AE44)</f>
        <v>28815858</v>
      </c>
      <c r="AF45" s="927"/>
    </row>
    <row r="46" spans="17:31" ht="13.5">
      <c r="Q46" s="978" t="s">
        <v>3</v>
      </c>
      <c r="R46" s="978"/>
      <c r="S46" s="978"/>
      <c r="T46" s="978"/>
      <c r="V46" s="928" t="s">
        <v>3</v>
      </c>
      <c r="W46" s="928"/>
      <c r="X46" s="928"/>
      <c r="Y46" s="928"/>
      <c r="AA46" s="928" t="s">
        <v>3</v>
      </c>
      <c r="AB46" s="978"/>
      <c r="AC46" s="978"/>
      <c r="AD46" s="978"/>
      <c r="AE46" s="978"/>
    </row>
    <row r="47" spans="17:25" ht="34.5" customHeight="1">
      <c r="Q47" s="978">
        <f>Q45-C45</f>
        <v>0</v>
      </c>
      <c r="R47" s="978"/>
      <c r="S47" s="978"/>
      <c r="T47" s="978"/>
      <c r="V47" s="928">
        <f>V45-H45</f>
        <v>0</v>
      </c>
      <c r="W47" s="928">
        <f>W45-I45</f>
        <v>0</v>
      </c>
      <c r="X47" s="928">
        <f>X45-J45</f>
        <v>0</v>
      </c>
      <c r="Y47" s="928"/>
    </row>
    <row r="51" ht="13.5">
      <c r="V51" s="906" t="s">
        <v>3</v>
      </c>
    </row>
    <row r="52" ht="13.5">
      <c r="AA52" s="906" t="s">
        <v>3</v>
      </c>
    </row>
  </sheetData>
  <sheetProtection/>
  <mergeCells count="167">
    <mergeCell ref="A2:AF2"/>
    <mergeCell ref="A5:N5"/>
    <mergeCell ref="O5:AF5"/>
    <mergeCell ref="A6:B8"/>
    <mergeCell ref="C6:G6"/>
    <mergeCell ref="H6:N6"/>
    <mergeCell ref="O6:P8"/>
    <mergeCell ref="Q6:U6"/>
    <mergeCell ref="V6:AF6"/>
    <mergeCell ref="C7:C8"/>
    <mergeCell ref="P12:P14"/>
    <mergeCell ref="G7:G8"/>
    <mergeCell ref="H7:H8"/>
    <mergeCell ref="L7:L8"/>
    <mergeCell ref="M7:M8"/>
    <mergeCell ref="N7:N8"/>
    <mergeCell ref="M9:M11"/>
    <mergeCell ref="N9:N11"/>
    <mergeCell ref="O9:O25"/>
    <mergeCell ref="N15:N21"/>
    <mergeCell ref="P9:P11"/>
    <mergeCell ref="Q9:Q11"/>
    <mergeCell ref="U9:U11"/>
    <mergeCell ref="Q7:Q8"/>
    <mergeCell ref="S9:S11"/>
    <mergeCell ref="T9:T11"/>
    <mergeCell ref="U7:U8"/>
    <mergeCell ref="R7:R8"/>
    <mergeCell ref="S7:S8"/>
    <mergeCell ref="T7:T8"/>
    <mergeCell ref="A9:A25"/>
    <mergeCell ref="B9:B11"/>
    <mergeCell ref="C9:C11"/>
    <mergeCell ref="G9:G11"/>
    <mergeCell ref="H9:H11"/>
    <mergeCell ref="L9:L11"/>
    <mergeCell ref="J12:J14"/>
    <mergeCell ref="K9:K11"/>
    <mergeCell ref="B12:B14"/>
    <mergeCell ref="C12:C14"/>
    <mergeCell ref="Q12:Q14"/>
    <mergeCell ref="U12:U14"/>
    <mergeCell ref="W7:W8"/>
    <mergeCell ref="Y12:Y14"/>
    <mergeCell ref="X9:X11"/>
    <mergeCell ref="AA15:AA21"/>
    <mergeCell ref="W9:W11"/>
    <mergeCell ref="Y9:Y11"/>
    <mergeCell ref="V9:V11"/>
    <mergeCell ref="Z9:Z11"/>
    <mergeCell ref="L12:L14"/>
    <mergeCell ref="M12:M14"/>
    <mergeCell ref="W12:W14"/>
    <mergeCell ref="R9:R11"/>
    <mergeCell ref="AF7:AF8"/>
    <mergeCell ref="X7:X8"/>
    <mergeCell ref="Y7:Y8"/>
    <mergeCell ref="Z7:Z8"/>
    <mergeCell ref="AA7:AA8"/>
    <mergeCell ref="AB7:AE7"/>
    <mergeCell ref="B15:B21"/>
    <mergeCell ref="C15:C21"/>
    <mergeCell ref="G15:G21"/>
    <mergeCell ref="H15:H21"/>
    <mergeCell ref="F15:F21"/>
    <mergeCell ref="AA9:AA11"/>
    <mergeCell ref="V12:V14"/>
    <mergeCell ref="Z12:Z14"/>
    <mergeCell ref="AA12:AA14"/>
    <mergeCell ref="G12:G14"/>
    <mergeCell ref="Z15:Z21"/>
    <mergeCell ref="Z26:Z31"/>
    <mergeCell ref="U32:U38"/>
    <mergeCell ref="V32:V38"/>
    <mergeCell ref="Q15:Q21"/>
    <mergeCell ref="Y15:Y21"/>
    <mergeCell ref="X26:X31"/>
    <mergeCell ref="W15:W21"/>
    <mergeCell ref="U15:U21"/>
    <mergeCell ref="V15:V21"/>
    <mergeCell ref="AA26:AA31"/>
    <mergeCell ref="Y26:Y31"/>
    <mergeCell ref="W26:W31"/>
    <mergeCell ref="W32:W38"/>
    <mergeCell ref="A26:A41"/>
    <mergeCell ref="B26:B31"/>
    <mergeCell ref="C26:C31"/>
    <mergeCell ref="G26:G31"/>
    <mergeCell ref="H26:H31"/>
    <mergeCell ref="H32:H38"/>
    <mergeCell ref="L32:L38"/>
    <mergeCell ref="M32:M38"/>
    <mergeCell ref="E32:E38"/>
    <mergeCell ref="F32:F38"/>
    <mergeCell ref="Z32:Z38"/>
    <mergeCell ref="AA32:AA38"/>
    <mergeCell ref="S32:S38"/>
    <mergeCell ref="T32:T38"/>
    <mergeCell ref="A42:A44"/>
    <mergeCell ref="O42:O44"/>
    <mergeCell ref="Y32:Y38"/>
    <mergeCell ref="K32:K38"/>
    <mergeCell ref="X32:X38"/>
    <mergeCell ref="D32:D38"/>
    <mergeCell ref="B32:B38"/>
    <mergeCell ref="C32:C38"/>
    <mergeCell ref="G32:G38"/>
    <mergeCell ref="R32:R38"/>
    <mergeCell ref="A45:B45"/>
    <mergeCell ref="O45:P45"/>
    <mergeCell ref="I7:I8"/>
    <mergeCell ref="J7:J8"/>
    <mergeCell ref="I9:I11"/>
    <mergeCell ref="J9:J11"/>
    <mergeCell ref="I12:I14"/>
    <mergeCell ref="I32:I38"/>
    <mergeCell ref="J32:J38"/>
    <mergeCell ref="N32:N38"/>
    <mergeCell ref="V7:V8"/>
    <mergeCell ref="R12:R14"/>
    <mergeCell ref="N26:N31"/>
    <mergeCell ref="K26:K31"/>
    <mergeCell ref="K7:K8"/>
    <mergeCell ref="O26:O41"/>
    <mergeCell ref="P26:P31"/>
    <mergeCell ref="Q26:Q31"/>
    <mergeCell ref="P32:P38"/>
    <mergeCell ref="Q32:Q38"/>
    <mergeCell ref="D7:D8"/>
    <mergeCell ref="E7:E8"/>
    <mergeCell ref="D9:D11"/>
    <mergeCell ref="E9:E11"/>
    <mergeCell ref="D12:D14"/>
    <mergeCell ref="F7:F8"/>
    <mergeCell ref="F9:F11"/>
    <mergeCell ref="F12:F14"/>
    <mergeCell ref="E12:E14"/>
    <mergeCell ref="V26:V31"/>
    <mergeCell ref="L26:L31"/>
    <mergeCell ref="M26:M31"/>
    <mergeCell ref="P15:P21"/>
    <mergeCell ref="D15:D21"/>
    <mergeCell ref="L15:L21"/>
    <mergeCell ref="M15:M21"/>
    <mergeCell ref="K15:K21"/>
    <mergeCell ref="E15:E21"/>
    <mergeCell ref="I15:I21"/>
    <mergeCell ref="T26:T31"/>
    <mergeCell ref="S12:S14"/>
    <mergeCell ref="T12:T14"/>
    <mergeCell ref="R15:R21"/>
    <mergeCell ref="D26:D31"/>
    <mergeCell ref="E26:E31"/>
    <mergeCell ref="N12:N14"/>
    <mergeCell ref="J15:J21"/>
    <mergeCell ref="K12:K14"/>
    <mergeCell ref="H12:H14"/>
    <mergeCell ref="S15:S21"/>
    <mergeCell ref="T15:T21"/>
    <mergeCell ref="R26:R31"/>
    <mergeCell ref="S26:S31"/>
    <mergeCell ref="F26:F31"/>
    <mergeCell ref="X12:X14"/>
    <mergeCell ref="X15:X21"/>
    <mergeCell ref="I26:I31"/>
    <mergeCell ref="J26:J31"/>
    <mergeCell ref="U26:U31"/>
  </mergeCells>
  <printOptions horizontalCentered="1"/>
  <pageMargins left="0.15748031496062992" right="0.15748031496062992" top="0.7086614173228347" bottom="0.1968503937007874" header="0.9055118110236221" footer="0.5118110236220472"/>
  <pageSetup fitToHeight="999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79"/>
  <sheetViews>
    <sheetView showGridLines="0" view="pageBreakPreview" zoomScale="90" zoomScaleNormal="75" zoomScaleSheetLayoutView="90" zoomScalePageLayoutView="0" workbookViewId="0" topLeftCell="A1">
      <pane xSplit="3" ySplit="6" topLeftCell="D100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106" sqref="D106"/>
    </sheetView>
  </sheetViews>
  <sheetFormatPr defaultColWidth="8.88671875" defaultRowHeight="13.5"/>
  <cols>
    <col min="1" max="1" width="11.21484375" style="1" customWidth="1"/>
    <col min="2" max="2" width="10.4453125" style="1" customWidth="1"/>
    <col min="3" max="3" width="11.88671875" style="1" customWidth="1"/>
    <col min="4" max="4" width="11.77734375" style="692" customWidth="1"/>
    <col min="5" max="5" width="11.3359375" style="692" customWidth="1"/>
    <col min="6" max="6" width="12.77734375" style="190" customWidth="1"/>
    <col min="7" max="7" width="12.6640625" style="227" customWidth="1"/>
    <col min="8" max="8" width="12.3359375" style="374" customWidth="1"/>
    <col min="9" max="9" width="12.4453125" style="190" customWidth="1"/>
    <col min="10" max="16384" width="8.88671875" style="1" customWidth="1"/>
  </cols>
  <sheetData>
    <row r="1" spans="1:9" s="65" customFormat="1" ht="37.5" customHeight="1">
      <c r="A1" s="1326" t="s">
        <v>1250</v>
      </c>
      <c r="B1" s="1326"/>
      <c r="C1" s="1326"/>
      <c r="D1" s="1326"/>
      <c r="E1" s="1326"/>
      <c r="F1" s="1326"/>
      <c r="G1" s="1326"/>
      <c r="H1" s="1326"/>
      <c r="I1" s="1326"/>
    </row>
    <row r="2" spans="1:9" s="65" customFormat="1" ht="19.5" customHeight="1">
      <c r="A2" s="1327" t="s">
        <v>1251</v>
      </c>
      <c r="B2" s="1327"/>
      <c r="C2" s="1327"/>
      <c r="D2" s="1327"/>
      <c r="E2" s="1327"/>
      <c r="F2" s="1327"/>
      <c r="G2" s="1327"/>
      <c r="H2" s="1327"/>
      <c r="I2" s="1327"/>
    </row>
    <row r="3" spans="1:9" s="65" customFormat="1" ht="19.5" customHeight="1">
      <c r="A3" s="66" t="s">
        <v>438</v>
      </c>
      <c r="D3" s="184"/>
      <c r="E3" s="184"/>
      <c r="F3" s="184"/>
      <c r="G3" s="222"/>
      <c r="H3" s="184"/>
      <c r="I3" s="185"/>
    </row>
    <row r="4" spans="1:9" s="65" customFormat="1" ht="19.5" customHeight="1">
      <c r="A4" s="66" t="s">
        <v>439</v>
      </c>
      <c r="D4" s="184"/>
      <c r="E4" s="184"/>
      <c r="F4" s="184"/>
      <c r="G4" s="222"/>
      <c r="H4" s="184"/>
      <c r="I4" s="186" t="s">
        <v>440</v>
      </c>
    </row>
    <row r="5" spans="1:9" s="170" customFormat="1" ht="28.5" customHeight="1">
      <c r="A5" s="1328" t="s">
        <v>441</v>
      </c>
      <c r="B5" s="1329"/>
      <c r="C5" s="1330"/>
      <c r="D5" s="1331" t="s">
        <v>1252</v>
      </c>
      <c r="E5" s="1332"/>
      <c r="F5" s="1332"/>
      <c r="G5" s="1333"/>
      <c r="H5" s="1320" t="s">
        <v>1253</v>
      </c>
      <c r="I5" s="1322" t="s">
        <v>442</v>
      </c>
    </row>
    <row r="6" spans="1:9" s="13" customFormat="1" ht="28.5" customHeight="1">
      <c r="A6" s="17" t="s">
        <v>443</v>
      </c>
      <c r="B6" s="18" t="s">
        <v>444</v>
      </c>
      <c r="C6" s="18" t="s">
        <v>445</v>
      </c>
      <c r="D6" s="674" t="s">
        <v>446</v>
      </c>
      <c r="E6" s="674" t="s">
        <v>667</v>
      </c>
      <c r="F6" s="233" t="s">
        <v>447</v>
      </c>
      <c r="G6" s="330" t="s">
        <v>448</v>
      </c>
      <c r="H6" s="1321"/>
      <c r="I6" s="1323"/>
    </row>
    <row r="7" spans="1:9" s="13" customFormat="1" ht="28.5" customHeight="1">
      <c r="A7" s="1324" t="s">
        <v>449</v>
      </c>
      <c r="B7" s="19"/>
      <c r="C7" s="19"/>
      <c r="D7" s="675"/>
      <c r="E7" s="675"/>
      <c r="F7" s="234"/>
      <c r="G7" s="235"/>
      <c r="H7" s="890"/>
      <c r="I7" s="236"/>
    </row>
    <row r="8" spans="1:9" s="13" customFormat="1" ht="28.5" customHeight="1" thickBot="1">
      <c r="A8" s="1325"/>
      <c r="B8" s="20"/>
      <c r="C8" s="20"/>
      <c r="D8" s="676">
        <f>D10+D58+D22+D129+D78+D88+D120+D108</f>
        <v>63412118</v>
      </c>
      <c r="E8" s="676">
        <f>E10+E58+E22+E129+E78+E88+E120+E108</f>
        <v>96630917</v>
      </c>
      <c r="F8" s="237">
        <f>F10+F58+F22+F129+F78+F88+F120+F108</f>
        <v>3700000</v>
      </c>
      <c r="G8" s="676">
        <f>G10+G58+G22+G129+G78+G88+G120+G108</f>
        <v>156343036</v>
      </c>
      <c r="H8" s="676">
        <f>H10+H58+H22+H129+H78+H88+H120+H108</f>
        <v>127527178</v>
      </c>
      <c r="I8" s="238">
        <f>SUM(G8-H8)</f>
        <v>28815858</v>
      </c>
    </row>
    <row r="9" spans="1:9" s="13" customFormat="1" ht="30" customHeight="1" thickTop="1">
      <c r="A9" s="41">
        <v>5100</v>
      </c>
      <c r="B9" s="22"/>
      <c r="C9" s="22"/>
      <c r="D9" s="677"/>
      <c r="E9" s="677"/>
      <c r="F9" s="239"/>
      <c r="G9" s="240"/>
      <c r="H9" s="891"/>
      <c r="I9" s="241"/>
    </row>
    <row r="10" spans="1:9" s="13" customFormat="1" ht="30" customHeight="1">
      <c r="A10" s="331" t="s">
        <v>450</v>
      </c>
      <c r="B10" s="24"/>
      <c r="C10" s="24"/>
      <c r="D10" s="678">
        <f>D12+D18</f>
        <v>46365601</v>
      </c>
      <c r="E10" s="678">
        <f>E12+E18</f>
        <v>1035740</v>
      </c>
      <c r="F10" s="242">
        <f>F12+F18</f>
        <v>0</v>
      </c>
      <c r="G10" s="242">
        <f>SUM(D10+E10-F10)</f>
        <v>47401341</v>
      </c>
      <c r="H10" s="678">
        <f>H12+H18</f>
        <v>47236411</v>
      </c>
      <c r="I10" s="243">
        <f>G10-H10</f>
        <v>164930</v>
      </c>
    </row>
    <row r="11" spans="1:9" s="13" customFormat="1" ht="25.5" customHeight="1">
      <c r="A11" s="34"/>
      <c r="B11" s="26">
        <v>5110</v>
      </c>
      <c r="C11" s="27"/>
      <c r="D11" s="634"/>
      <c r="E11" s="634"/>
      <c r="F11" s="244"/>
      <c r="G11" s="245"/>
      <c r="H11" s="679"/>
      <c r="I11" s="246"/>
    </row>
    <row r="12" spans="1:9" s="13" customFormat="1" ht="25.5" customHeight="1">
      <c r="A12" s="34"/>
      <c r="B12" s="27" t="s">
        <v>451</v>
      </c>
      <c r="C12" s="27"/>
      <c r="D12" s="679">
        <f>D14+D16</f>
        <v>46365601</v>
      </c>
      <c r="E12" s="679">
        <f>E14+E16</f>
        <v>0</v>
      </c>
      <c r="F12" s="245">
        <f>F14+F16</f>
        <v>0</v>
      </c>
      <c r="G12" s="242">
        <f>SUM(D12+E12-F12)</f>
        <v>46365601</v>
      </c>
      <c r="H12" s="679">
        <f>H14+H16</f>
        <v>45953411</v>
      </c>
      <c r="I12" s="243">
        <f>G12-H12</f>
        <v>412190</v>
      </c>
    </row>
    <row r="13" spans="1:9" s="13" customFormat="1" ht="21.75" customHeight="1">
      <c r="A13" s="34"/>
      <c r="B13" s="27"/>
      <c r="C13" s="332">
        <v>5111</v>
      </c>
      <c r="D13" s="680"/>
      <c r="E13" s="680"/>
      <c r="F13" s="247"/>
      <c r="G13" s="248" t="s">
        <v>452</v>
      </c>
      <c r="H13" s="892"/>
      <c r="I13" s="249"/>
    </row>
    <row r="14" spans="1:9" s="13" customFormat="1" ht="21.75" customHeight="1">
      <c r="A14" s="34"/>
      <c r="B14" s="27"/>
      <c r="C14" s="27" t="s">
        <v>453</v>
      </c>
      <c r="D14" s="634">
        <v>1251970</v>
      </c>
      <c r="E14" s="634">
        <f>'(수입-비등록금회계)'!D14</f>
        <v>0</v>
      </c>
      <c r="F14" s="244">
        <v>0</v>
      </c>
      <c r="G14" s="242">
        <f>SUM(D14+E14-F14)</f>
        <v>1251970</v>
      </c>
      <c r="H14" s="678">
        <v>1305074</v>
      </c>
      <c r="I14" s="246">
        <f>G14-H14</f>
        <v>-53104</v>
      </c>
    </row>
    <row r="15" spans="1:9" s="13" customFormat="1" ht="21.75" customHeight="1">
      <c r="A15" s="34"/>
      <c r="B15" s="27"/>
      <c r="C15" s="332">
        <v>5112</v>
      </c>
      <c r="D15" s="680"/>
      <c r="E15" s="680"/>
      <c r="F15" s="247"/>
      <c r="G15" s="248" t="s">
        <v>452</v>
      </c>
      <c r="H15" s="892" t="s">
        <v>76</v>
      </c>
      <c r="I15" s="249"/>
    </row>
    <row r="16" spans="1:9" s="13" customFormat="1" ht="21.75" customHeight="1">
      <c r="A16" s="34"/>
      <c r="B16" s="27"/>
      <c r="C16" s="24" t="s">
        <v>454</v>
      </c>
      <c r="D16" s="681">
        <v>45113631</v>
      </c>
      <c r="E16" s="681">
        <f>'(수입-비등록금회계)'!D20</f>
        <v>0</v>
      </c>
      <c r="F16" s="251">
        <v>0</v>
      </c>
      <c r="G16" s="242">
        <f>SUM(D16+E16-F16)</f>
        <v>45113631</v>
      </c>
      <c r="H16" s="678">
        <v>44648337</v>
      </c>
      <c r="I16" s="243">
        <f>G16-H16</f>
        <v>465294</v>
      </c>
    </row>
    <row r="17" spans="1:12" s="13" customFormat="1" ht="25.5" customHeight="1">
      <c r="A17" s="34"/>
      <c r="B17" s="28">
        <v>5120</v>
      </c>
      <c r="C17" s="28"/>
      <c r="D17" s="680"/>
      <c r="E17" s="680"/>
      <c r="F17" s="247"/>
      <c r="G17" s="248"/>
      <c r="H17" s="892"/>
      <c r="I17" s="249"/>
      <c r="J17" s="31"/>
      <c r="K17" s="31"/>
      <c r="L17" s="31"/>
    </row>
    <row r="18" spans="1:12" s="13" customFormat="1" ht="25.5" customHeight="1">
      <c r="A18" s="34"/>
      <c r="B18" s="27" t="s">
        <v>455</v>
      </c>
      <c r="C18" s="24"/>
      <c r="D18" s="678">
        <f>D20</f>
        <v>0</v>
      </c>
      <c r="E18" s="678">
        <f>E20</f>
        <v>1035740</v>
      </c>
      <c r="F18" s="242">
        <f>F20</f>
        <v>0</v>
      </c>
      <c r="G18" s="242">
        <f>SUM(D18+E18-F18)</f>
        <v>1035740</v>
      </c>
      <c r="H18" s="678">
        <f>H20</f>
        <v>1283000</v>
      </c>
      <c r="I18" s="243">
        <f>G18-H18</f>
        <v>-247260</v>
      </c>
      <c r="J18" s="31"/>
      <c r="K18" s="31"/>
      <c r="L18" s="31"/>
    </row>
    <row r="19" spans="1:12" s="13" customFormat="1" ht="26.25" customHeight="1">
      <c r="A19" s="34"/>
      <c r="B19" s="27"/>
      <c r="C19" s="27">
        <v>5121</v>
      </c>
      <c r="D19" s="634"/>
      <c r="E19" s="634"/>
      <c r="F19" s="244"/>
      <c r="G19" s="245"/>
      <c r="H19" s="679"/>
      <c r="I19" s="246"/>
      <c r="J19" s="31"/>
      <c r="K19" s="31"/>
      <c r="L19" s="31"/>
    </row>
    <row r="20" spans="1:12" s="13" customFormat="1" ht="26.25" customHeight="1">
      <c r="A20" s="1093"/>
      <c r="B20" s="949"/>
      <c r="C20" s="949" t="s">
        <v>456</v>
      </c>
      <c r="D20" s="684">
        <f>'(수입-등록금회계)'!D28</f>
        <v>0</v>
      </c>
      <c r="E20" s="684">
        <v>1035740</v>
      </c>
      <c r="F20" s="336">
        <v>0</v>
      </c>
      <c r="G20" s="337">
        <f>SUM(D20+E20-F20)</f>
        <v>1035740</v>
      </c>
      <c r="H20" s="893">
        <v>1283000</v>
      </c>
      <c r="I20" s="338">
        <f>G20-H20</f>
        <v>-247260</v>
      </c>
      <c r="J20" s="31"/>
      <c r="K20" s="31"/>
      <c r="L20" s="31"/>
    </row>
    <row r="21" spans="1:12" s="13" customFormat="1" ht="27" customHeight="1">
      <c r="A21" s="34">
        <v>5200</v>
      </c>
      <c r="B21" s="27"/>
      <c r="C21" s="27"/>
      <c r="D21" s="634"/>
      <c r="E21" s="634"/>
      <c r="F21" s="244"/>
      <c r="G21" s="245"/>
      <c r="H21" s="679"/>
      <c r="I21" s="246"/>
      <c r="J21" s="31"/>
      <c r="K21" s="31"/>
      <c r="L21" s="31"/>
    </row>
    <row r="22" spans="1:12" s="13" customFormat="1" ht="30" customHeight="1">
      <c r="A22" s="331" t="s">
        <v>457</v>
      </c>
      <c r="B22" s="333"/>
      <c r="C22" s="24"/>
      <c r="D22" s="678">
        <f>D24+D36+D46+D54</f>
        <v>0</v>
      </c>
      <c r="E22" s="678">
        <f>E24+E36+E46+E54</f>
        <v>36563664</v>
      </c>
      <c r="F22" s="242">
        <f>F24+F36+F46+F54</f>
        <v>3700000</v>
      </c>
      <c r="G22" s="242">
        <f>SUM(D22+E22-F22)</f>
        <v>32863664</v>
      </c>
      <c r="H22" s="678">
        <f>H24+H36+H46+H54</f>
        <v>30734225</v>
      </c>
      <c r="I22" s="243">
        <f>G22-H22</f>
        <v>2129439</v>
      </c>
      <c r="J22" s="31"/>
      <c r="K22" s="31"/>
      <c r="L22" s="31"/>
    </row>
    <row r="23" spans="1:12" s="13" customFormat="1" ht="27" customHeight="1">
      <c r="A23" s="34"/>
      <c r="B23" s="26">
        <v>5210</v>
      </c>
      <c r="C23" s="27"/>
      <c r="D23" s="634"/>
      <c r="E23" s="634"/>
      <c r="F23" s="244"/>
      <c r="G23" s="245"/>
      <c r="H23" s="679"/>
      <c r="I23" s="246"/>
      <c r="J23" s="31"/>
      <c r="K23" s="31"/>
      <c r="L23" s="31"/>
    </row>
    <row r="24" spans="1:12" s="13" customFormat="1" ht="24" customHeight="1">
      <c r="A24" s="34"/>
      <c r="B24" s="27" t="s">
        <v>458</v>
      </c>
      <c r="C24" s="24"/>
      <c r="D24" s="678">
        <f>D26+D28+D30+D32+D34</f>
        <v>0</v>
      </c>
      <c r="E24" s="893">
        <f>E26+E28+E30+E32+E34</f>
        <v>15400000</v>
      </c>
      <c r="F24" s="893">
        <f>F26+F28+F30+F32+F34</f>
        <v>3700000</v>
      </c>
      <c r="G24" s="242">
        <f>SUM(D24+E24-F24)</f>
        <v>11700000</v>
      </c>
      <c r="H24" s="893">
        <f>H26+H28+H30+H32+H34</f>
        <v>11594206</v>
      </c>
      <c r="I24" s="243">
        <f>G24-H24</f>
        <v>105794</v>
      </c>
      <c r="J24" s="31"/>
      <c r="K24" s="31"/>
      <c r="L24" s="31"/>
    </row>
    <row r="25" spans="1:12" s="13" customFormat="1" ht="22.5" customHeight="1">
      <c r="A25" s="34"/>
      <c r="B25" s="27"/>
      <c r="C25" s="26">
        <v>5211</v>
      </c>
      <c r="D25" s="634"/>
      <c r="E25" s="634"/>
      <c r="F25" s="244"/>
      <c r="G25" s="245"/>
      <c r="H25" s="679"/>
      <c r="I25" s="246"/>
      <c r="J25" s="31"/>
      <c r="K25" s="31"/>
      <c r="L25" s="31"/>
    </row>
    <row r="26" spans="1:12" s="13" customFormat="1" ht="27" customHeight="1">
      <c r="A26" s="34"/>
      <c r="B26" s="27"/>
      <c r="C26" s="32" t="s">
        <v>459</v>
      </c>
      <c r="D26" s="634">
        <f>'(수입-등록금회계)'!D41</f>
        <v>0</v>
      </c>
      <c r="E26" s="634">
        <f>'(수입-비등록금회계)'!D40</f>
        <v>0</v>
      </c>
      <c r="F26" s="244">
        <v>0</v>
      </c>
      <c r="G26" s="242">
        <f>SUM(D26+E26-F26)</f>
        <v>0</v>
      </c>
      <c r="H26" s="679">
        <v>0</v>
      </c>
      <c r="I26" s="243">
        <f>G26-H26</f>
        <v>0</v>
      </c>
      <c r="J26" s="31"/>
      <c r="K26" s="31"/>
      <c r="L26" s="31"/>
    </row>
    <row r="27" spans="1:12" s="13" customFormat="1" ht="26.25" customHeight="1">
      <c r="A27" s="34"/>
      <c r="B27" s="27"/>
      <c r="C27" s="332">
        <v>5212</v>
      </c>
      <c r="D27" s="680"/>
      <c r="E27" s="680"/>
      <c r="F27" s="247"/>
      <c r="G27" s="248"/>
      <c r="H27" s="892"/>
      <c r="I27" s="249"/>
      <c r="J27" s="31"/>
      <c r="K27" s="31"/>
      <c r="L27" s="31"/>
    </row>
    <row r="28" spans="1:12" s="13" customFormat="1" ht="26.25" customHeight="1">
      <c r="A28" s="34"/>
      <c r="B28" s="27"/>
      <c r="C28" s="33" t="s">
        <v>460</v>
      </c>
      <c r="D28" s="681">
        <f>'(수입-등록금회계)'!D43</f>
        <v>0</v>
      </c>
      <c r="E28" s="681">
        <v>2700000</v>
      </c>
      <c r="F28" s="251">
        <v>0</v>
      </c>
      <c r="G28" s="242">
        <f>SUM(D28+E28-F28)</f>
        <v>2700000</v>
      </c>
      <c r="H28" s="678">
        <v>2530000</v>
      </c>
      <c r="I28" s="243">
        <f>G28-H28</f>
        <v>170000</v>
      </c>
      <c r="J28" s="31"/>
      <c r="K28" s="31"/>
      <c r="L28" s="31"/>
    </row>
    <row r="29" spans="1:12" s="13" customFormat="1" ht="24" customHeight="1">
      <c r="A29" s="34"/>
      <c r="B29" s="27"/>
      <c r="C29" s="27">
        <v>5214</v>
      </c>
      <c r="D29" s="634"/>
      <c r="E29" s="634"/>
      <c r="F29" s="244"/>
      <c r="G29" s="245"/>
      <c r="H29" s="679"/>
      <c r="I29" s="246"/>
      <c r="J29" s="31"/>
      <c r="K29" s="31"/>
      <c r="L29" s="31"/>
    </row>
    <row r="30" spans="1:12" s="13" customFormat="1" ht="30" customHeight="1">
      <c r="A30" s="34"/>
      <c r="B30" s="27"/>
      <c r="C30" s="33" t="s">
        <v>461</v>
      </c>
      <c r="D30" s="682">
        <f>'(수입-등록금회계)'!D49</f>
        <v>0</v>
      </c>
      <c r="E30" s="682">
        <v>9000000</v>
      </c>
      <c r="F30" s="254">
        <v>0</v>
      </c>
      <c r="G30" s="242">
        <f>SUM(D30+E30-F30)</f>
        <v>9000000</v>
      </c>
      <c r="H30" s="678">
        <v>9064206</v>
      </c>
      <c r="I30" s="243">
        <f>G30-H30</f>
        <v>-64206</v>
      </c>
      <c r="J30" s="31"/>
      <c r="K30" s="31"/>
      <c r="L30" s="31"/>
    </row>
    <row r="31" spans="1:12" s="13" customFormat="1" ht="24.75" customHeight="1">
      <c r="A31" s="34"/>
      <c r="B31" s="27"/>
      <c r="C31" s="27">
        <v>5215</v>
      </c>
      <c r="D31" s="634"/>
      <c r="E31" s="634"/>
      <c r="F31" s="244"/>
      <c r="G31" s="245"/>
      <c r="H31" s="679"/>
      <c r="I31" s="246"/>
      <c r="J31" s="31"/>
      <c r="K31" s="31"/>
      <c r="L31" s="31"/>
    </row>
    <row r="32" spans="1:12" s="13" customFormat="1" ht="27" customHeight="1">
      <c r="A32" s="34"/>
      <c r="B32" s="27"/>
      <c r="C32" s="882" t="s">
        <v>1149</v>
      </c>
      <c r="D32" s="681">
        <f>'(수입-등록금회계)'!D51</f>
        <v>0</v>
      </c>
      <c r="E32" s="681">
        <f>'(수입-비등록금회계)'!D50</f>
        <v>0</v>
      </c>
      <c r="F32" s="251">
        <v>0</v>
      </c>
      <c r="G32" s="242">
        <f>SUM(D32+E32-F32)</f>
        <v>0</v>
      </c>
      <c r="H32" s="678">
        <v>0</v>
      </c>
      <c r="I32" s="243">
        <f>G32-H32</f>
        <v>0</v>
      </c>
      <c r="J32" s="31"/>
      <c r="K32" s="31"/>
      <c r="L32" s="31"/>
    </row>
    <row r="33" spans="1:12" s="13" customFormat="1" ht="26.25" customHeight="1">
      <c r="A33" s="34"/>
      <c r="B33" s="27"/>
      <c r="C33" s="27">
        <v>5218</v>
      </c>
      <c r="D33" s="634" t="s">
        <v>452</v>
      </c>
      <c r="E33" s="634"/>
      <c r="F33" s="244"/>
      <c r="G33" s="245"/>
      <c r="H33" s="679"/>
      <c r="I33" s="246"/>
      <c r="J33" s="31"/>
      <c r="K33" s="31"/>
      <c r="L33" s="31"/>
    </row>
    <row r="34" spans="1:12" s="13" customFormat="1" ht="30" customHeight="1">
      <c r="A34" s="34"/>
      <c r="B34" s="27"/>
      <c r="C34" s="33" t="s">
        <v>462</v>
      </c>
      <c r="D34" s="678">
        <f>'(수입-등록금회계)'!D53</f>
        <v>0</v>
      </c>
      <c r="E34" s="681">
        <v>3700000</v>
      </c>
      <c r="F34" s="251">
        <f>SUM(E34)</f>
        <v>3700000</v>
      </c>
      <c r="G34" s="242">
        <f>SUM(D34+E34-F34)</f>
        <v>0</v>
      </c>
      <c r="H34" s="678">
        <v>0</v>
      </c>
      <c r="I34" s="243">
        <f>G34-H34</f>
        <v>0</v>
      </c>
      <c r="J34" s="31"/>
      <c r="K34" s="31"/>
      <c r="L34" s="31"/>
    </row>
    <row r="35" spans="1:12" s="13" customFormat="1" ht="27" customHeight="1">
      <c r="A35" s="34"/>
      <c r="B35" s="28">
        <v>5220</v>
      </c>
      <c r="C35" s="27"/>
      <c r="D35" s="634"/>
      <c r="E35" s="634"/>
      <c r="F35" s="244"/>
      <c r="G35" s="245"/>
      <c r="H35" s="679"/>
      <c r="I35" s="246"/>
      <c r="J35" s="31"/>
      <c r="K35" s="31"/>
      <c r="L35" s="31"/>
    </row>
    <row r="36" spans="1:12" s="13" customFormat="1" ht="27" customHeight="1">
      <c r="A36" s="34"/>
      <c r="B36" s="27" t="s">
        <v>463</v>
      </c>
      <c r="C36" s="24"/>
      <c r="D36" s="678">
        <f>D38+D40+D42+D44</f>
        <v>0</v>
      </c>
      <c r="E36" s="678">
        <f>E38+E40+E42+E44</f>
        <v>9197140</v>
      </c>
      <c r="F36" s="678">
        <f>F38+F40+F42+F44</f>
        <v>0</v>
      </c>
      <c r="G36" s="242">
        <f>SUM(D36+E36-F36)</f>
        <v>9197140</v>
      </c>
      <c r="H36" s="678">
        <f>H38+H40+H42+H44</f>
        <v>8780000</v>
      </c>
      <c r="I36" s="243">
        <f>G36-H36</f>
        <v>417140</v>
      </c>
      <c r="J36" s="31"/>
      <c r="K36" s="31"/>
      <c r="L36" s="31"/>
    </row>
    <row r="37" spans="1:12" s="13" customFormat="1" ht="27" customHeight="1">
      <c r="A37" s="25"/>
      <c r="B37" s="27"/>
      <c r="C37" s="28">
        <v>5221</v>
      </c>
      <c r="D37" s="680"/>
      <c r="E37" s="680"/>
      <c r="F37" s="247"/>
      <c r="G37" s="248"/>
      <c r="H37" s="892"/>
      <c r="I37" s="249"/>
      <c r="J37" s="31"/>
      <c r="K37" s="31"/>
      <c r="L37" s="31"/>
    </row>
    <row r="38" spans="1:12" s="13" customFormat="1" ht="27" customHeight="1">
      <c r="A38" s="34"/>
      <c r="B38" s="27"/>
      <c r="C38" s="24" t="s">
        <v>464</v>
      </c>
      <c r="D38" s="681">
        <f>'(수입-등록금회계)'!D57</f>
        <v>0</v>
      </c>
      <c r="E38" s="681">
        <v>60720</v>
      </c>
      <c r="F38" s="251">
        <v>0</v>
      </c>
      <c r="G38" s="242">
        <f>SUM(D38+E38-F38)</f>
        <v>60720</v>
      </c>
      <c r="H38" s="678">
        <v>110000</v>
      </c>
      <c r="I38" s="243">
        <f>G38-H38</f>
        <v>-49280</v>
      </c>
      <c r="J38" s="31"/>
      <c r="K38" s="31"/>
      <c r="L38" s="31"/>
    </row>
    <row r="39" spans="1:12" s="13" customFormat="1" ht="27" customHeight="1">
      <c r="A39" s="34"/>
      <c r="B39" s="27"/>
      <c r="C39" s="27">
        <v>5222</v>
      </c>
      <c r="D39" s="634"/>
      <c r="E39" s="634"/>
      <c r="F39" s="244"/>
      <c r="G39" s="245"/>
      <c r="H39" s="679"/>
      <c r="I39" s="246"/>
      <c r="J39" s="31"/>
      <c r="K39" s="31"/>
      <c r="L39" s="31"/>
    </row>
    <row r="40" spans="1:12" s="13" customFormat="1" ht="27" customHeight="1">
      <c r="A40" s="34"/>
      <c r="B40" s="27"/>
      <c r="C40" s="24" t="s">
        <v>465</v>
      </c>
      <c r="D40" s="681">
        <f>'(수입-등록금회계)'!D59</f>
        <v>0</v>
      </c>
      <c r="E40" s="681">
        <v>9136420</v>
      </c>
      <c r="F40" s="251">
        <v>0</v>
      </c>
      <c r="G40" s="242">
        <f>SUM(D40+E40-F40)</f>
        <v>9136420</v>
      </c>
      <c r="H40" s="678">
        <v>8600000</v>
      </c>
      <c r="I40" s="243">
        <f>G40-H40</f>
        <v>536420</v>
      </c>
      <c r="J40" s="31"/>
      <c r="K40" s="31"/>
      <c r="L40" s="31"/>
    </row>
    <row r="41" spans="1:12" s="13" customFormat="1" ht="27" customHeight="1">
      <c r="A41" s="34"/>
      <c r="B41" s="27"/>
      <c r="C41" s="27">
        <v>5223</v>
      </c>
      <c r="D41" s="634"/>
      <c r="E41" s="634"/>
      <c r="F41" s="244"/>
      <c r="G41" s="245"/>
      <c r="H41" s="679"/>
      <c r="I41" s="246"/>
      <c r="J41" s="31"/>
      <c r="K41" s="31"/>
      <c r="L41" s="31"/>
    </row>
    <row r="42" spans="1:12" s="13" customFormat="1" ht="27" customHeight="1">
      <c r="A42" s="34"/>
      <c r="B42" s="27"/>
      <c r="C42" s="24" t="s">
        <v>147</v>
      </c>
      <c r="D42" s="681">
        <f>'(수입-등록금회계)'!D61</f>
        <v>0</v>
      </c>
      <c r="E42" s="681">
        <v>0</v>
      </c>
      <c r="F42" s="251">
        <v>0</v>
      </c>
      <c r="G42" s="242">
        <f>SUM(D42+E42-F42)</f>
        <v>0</v>
      </c>
      <c r="H42" s="678">
        <v>70000</v>
      </c>
      <c r="I42" s="243">
        <f>G42-H42</f>
        <v>-70000</v>
      </c>
      <c r="J42" s="31"/>
      <c r="K42" s="31"/>
      <c r="L42" s="31"/>
    </row>
    <row r="43" spans="1:12" s="13" customFormat="1" ht="27" customHeight="1">
      <c r="A43" s="34"/>
      <c r="B43" s="27"/>
      <c r="C43" s="27">
        <v>5224</v>
      </c>
      <c r="D43" s="634"/>
      <c r="E43" s="634"/>
      <c r="F43" s="244"/>
      <c r="G43" s="245"/>
      <c r="H43" s="679"/>
      <c r="I43" s="246"/>
      <c r="J43" s="31"/>
      <c r="K43" s="31"/>
      <c r="L43" s="31"/>
    </row>
    <row r="44" spans="1:12" s="13" customFormat="1" ht="27" customHeight="1">
      <c r="A44" s="34"/>
      <c r="B44" s="24"/>
      <c r="C44" s="882" t="s">
        <v>1067</v>
      </c>
      <c r="D44" s="681">
        <f>'(수입-등록금회계)'!D63</f>
        <v>0</v>
      </c>
      <c r="E44" s="681">
        <f>'(수입-비등록금회계)'!D67</f>
        <v>0</v>
      </c>
      <c r="F44" s="251">
        <v>0</v>
      </c>
      <c r="G44" s="242">
        <f>SUM(D44+E44-F44)</f>
        <v>0</v>
      </c>
      <c r="H44" s="678">
        <v>0</v>
      </c>
      <c r="I44" s="243">
        <f>G44-H44</f>
        <v>0</v>
      </c>
      <c r="J44" s="31"/>
      <c r="K44" s="31"/>
      <c r="L44" s="31"/>
    </row>
    <row r="45" spans="1:12" s="13" customFormat="1" ht="27" customHeight="1">
      <c r="A45" s="34"/>
      <c r="B45" s="26">
        <v>5230</v>
      </c>
      <c r="C45" s="27"/>
      <c r="D45" s="634"/>
      <c r="E45" s="634"/>
      <c r="F45" s="244"/>
      <c r="G45" s="245"/>
      <c r="H45" s="679"/>
      <c r="I45" s="246"/>
      <c r="J45" s="31"/>
      <c r="K45" s="31"/>
      <c r="L45" s="31"/>
    </row>
    <row r="46" spans="1:12" s="13" customFormat="1" ht="27" customHeight="1">
      <c r="A46" s="25"/>
      <c r="B46" s="32" t="s">
        <v>466</v>
      </c>
      <c r="C46" s="24"/>
      <c r="D46" s="678">
        <f>D48+D50+D52</f>
        <v>0</v>
      </c>
      <c r="E46" s="678">
        <f>E48+E50+E52</f>
        <v>11966524</v>
      </c>
      <c r="F46" s="242">
        <f>F48+F50+F52</f>
        <v>0</v>
      </c>
      <c r="G46" s="242">
        <f>SUM(D46+E46-F46)</f>
        <v>11966524</v>
      </c>
      <c r="H46" s="678">
        <f>H48+H50+H52</f>
        <v>10360019</v>
      </c>
      <c r="I46" s="243">
        <f>G46-H46</f>
        <v>1606505</v>
      </c>
      <c r="J46" s="31"/>
      <c r="K46" s="31"/>
      <c r="L46" s="31"/>
    </row>
    <row r="47" spans="1:12" s="13" customFormat="1" ht="27" customHeight="1">
      <c r="A47" s="25"/>
      <c r="B47" s="32"/>
      <c r="C47" s="27">
        <v>5231</v>
      </c>
      <c r="D47" s="679"/>
      <c r="E47" s="679"/>
      <c r="F47" s="245"/>
      <c r="G47" s="245"/>
      <c r="H47" s="679"/>
      <c r="I47" s="246"/>
      <c r="J47" s="31"/>
      <c r="K47" s="31"/>
      <c r="L47" s="31"/>
    </row>
    <row r="48" spans="1:12" s="13" customFormat="1" ht="27" customHeight="1">
      <c r="A48" s="25"/>
      <c r="B48" s="32"/>
      <c r="C48" s="24" t="s">
        <v>467</v>
      </c>
      <c r="D48" s="678">
        <f>'(수입-등록금회계)'!D67</f>
        <v>0</v>
      </c>
      <c r="E48" s="678">
        <f>'(수입-비등록금회계)'!D71</f>
        <v>0</v>
      </c>
      <c r="F48" s="242">
        <v>0</v>
      </c>
      <c r="G48" s="242">
        <f>SUM(D48+E48-F48)</f>
        <v>0</v>
      </c>
      <c r="H48" s="678">
        <v>0</v>
      </c>
      <c r="I48" s="243">
        <f>G48-H48</f>
        <v>0</v>
      </c>
      <c r="J48" s="31"/>
      <c r="K48" s="31"/>
      <c r="L48" s="31"/>
    </row>
    <row r="49" spans="1:12" s="13" customFormat="1" ht="27" customHeight="1">
      <c r="A49" s="25"/>
      <c r="B49" s="32"/>
      <c r="C49" s="27">
        <v>5232</v>
      </c>
      <c r="D49" s="679"/>
      <c r="E49" s="679"/>
      <c r="F49" s="245"/>
      <c r="G49" s="245"/>
      <c r="H49" s="679"/>
      <c r="I49" s="246"/>
      <c r="J49" s="31"/>
      <c r="K49" s="31"/>
      <c r="L49" s="31"/>
    </row>
    <row r="50" spans="1:12" s="13" customFormat="1" ht="27" customHeight="1">
      <c r="A50" s="25"/>
      <c r="B50" s="32"/>
      <c r="C50" s="24" t="s">
        <v>468</v>
      </c>
      <c r="D50" s="678">
        <f>'(수입-등록금회계)'!D69</f>
        <v>0</v>
      </c>
      <c r="E50" s="678">
        <v>11895110</v>
      </c>
      <c r="F50" s="242">
        <v>0</v>
      </c>
      <c r="G50" s="242">
        <f>SUM(D50+E50-F50)</f>
        <v>11895110</v>
      </c>
      <c r="H50" s="678">
        <v>10355019</v>
      </c>
      <c r="I50" s="243">
        <f>G50-H50</f>
        <v>1540091</v>
      </c>
      <c r="J50" s="31"/>
      <c r="K50" s="31"/>
      <c r="L50" s="31"/>
    </row>
    <row r="51" spans="1:12" s="13" customFormat="1" ht="27" customHeight="1">
      <c r="A51" s="25"/>
      <c r="B51" s="27"/>
      <c r="C51" s="27">
        <v>5233</v>
      </c>
      <c r="D51" s="634"/>
      <c r="E51" s="634"/>
      <c r="F51" s="244"/>
      <c r="G51" s="245"/>
      <c r="H51" s="679"/>
      <c r="I51" s="246"/>
      <c r="J51" s="31"/>
      <c r="K51" s="31"/>
      <c r="L51" s="31"/>
    </row>
    <row r="52" spans="1:12" s="13" customFormat="1" ht="27" customHeight="1">
      <c r="A52" s="952"/>
      <c r="B52" s="949"/>
      <c r="C52" s="949" t="s">
        <v>469</v>
      </c>
      <c r="D52" s="684">
        <f>'(수입-등록금회계)'!D72</f>
        <v>0</v>
      </c>
      <c r="E52" s="684">
        <v>71414</v>
      </c>
      <c r="F52" s="336">
        <v>0</v>
      </c>
      <c r="G52" s="337">
        <f>SUM(D52+E52-F52)</f>
        <v>71414</v>
      </c>
      <c r="H52" s="893">
        <v>5000</v>
      </c>
      <c r="I52" s="338">
        <f>G52-H52</f>
        <v>66414</v>
      </c>
      <c r="J52" s="31"/>
      <c r="K52" s="31"/>
      <c r="L52" s="31"/>
    </row>
    <row r="53" spans="1:12" s="13" customFormat="1" ht="27" customHeight="1">
      <c r="A53" s="34"/>
      <c r="B53" s="26">
        <v>5240</v>
      </c>
      <c r="C53" s="27"/>
      <c r="D53" s="634"/>
      <c r="E53" s="634"/>
      <c r="F53" s="244"/>
      <c r="G53" s="245"/>
      <c r="H53" s="679"/>
      <c r="I53" s="246"/>
      <c r="J53" s="31"/>
      <c r="K53" s="31"/>
      <c r="L53" s="31"/>
    </row>
    <row r="54" spans="1:12" s="13" customFormat="1" ht="27" customHeight="1">
      <c r="A54" s="34"/>
      <c r="B54" s="52" t="s">
        <v>470</v>
      </c>
      <c r="C54" s="24"/>
      <c r="D54" s="678">
        <f>D56</f>
        <v>0</v>
      </c>
      <c r="E54" s="678">
        <f>E56</f>
        <v>0</v>
      </c>
      <c r="F54" s="242">
        <f>F56</f>
        <v>0</v>
      </c>
      <c r="G54" s="242">
        <f>SUM(D54+E54-F54)</f>
        <v>0</v>
      </c>
      <c r="H54" s="678">
        <f>H56</f>
        <v>0</v>
      </c>
      <c r="I54" s="243">
        <f>G54-H54</f>
        <v>0</v>
      </c>
      <c r="J54" s="31"/>
      <c r="K54" s="31"/>
      <c r="L54" s="31"/>
    </row>
    <row r="55" spans="1:12" s="13" customFormat="1" ht="27" customHeight="1">
      <c r="A55" s="34"/>
      <c r="B55" s="32"/>
      <c r="C55" s="27">
        <v>5241</v>
      </c>
      <c r="D55" s="679"/>
      <c r="E55" s="679"/>
      <c r="F55" s="245"/>
      <c r="G55" s="245"/>
      <c r="H55" s="679"/>
      <c r="I55" s="246"/>
      <c r="J55" s="31"/>
      <c r="K55" s="31"/>
      <c r="L55" s="31"/>
    </row>
    <row r="56" spans="1:12" s="13" customFormat="1" ht="27" customHeight="1">
      <c r="A56" s="334"/>
      <c r="B56" s="298"/>
      <c r="C56" s="96" t="s">
        <v>471</v>
      </c>
      <c r="D56" s="678">
        <f>'(수입-등록금회계)'!D77</f>
        <v>0</v>
      </c>
      <c r="E56" s="678">
        <v>0</v>
      </c>
      <c r="F56" s="242">
        <v>0</v>
      </c>
      <c r="G56" s="242">
        <f>SUM(D56+E56-F56)</f>
        <v>0</v>
      </c>
      <c r="H56" s="678">
        <v>0</v>
      </c>
      <c r="I56" s="243">
        <f>G56-H56</f>
        <v>0</v>
      </c>
      <c r="J56" s="31"/>
      <c r="K56" s="31"/>
      <c r="L56" s="31"/>
    </row>
    <row r="57" spans="1:12" s="13" customFormat="1" ht="30" customHeight="1">
      <c r="A57" s="41">
        <v>5300</v>
      </c>
      <c r="B57" s="27"/>
      <c r="C57" s="27"/>
      <c r="D57" s="634"/>
      <c r="E57" s="634"/>
      <c r="F57" s="244"/>
      <c r="G57" s="245"/>
      <c r="H57" s="679"/>
      <c r="I57" s="246"/>
      <c r="J57" s="31"/>
      <c r="K57" s="31"/>
      <c r="L57" s="31"/>
    </row>
    <row r="58" spans="1:12" s="13" customFormat="1" ht="30" customHeight="1">
      <c r="A58" s="42" t="s">
        <v>472</v>
      </c>
      <c r="B58" s="24"/>
      <c r="C58" s="24"/>
      <c r="D58" s="678">
        <f>D60+D66+D72</f>
        <v>0</v>
      </c>
      <c r="E58" s="678">
        <f>E60+E66+E72</f>
        <v>3193227</v>
      </c>
      <c r="F58" s="242">
        <f>F60+F66+F72</f>
        <v>0</v>
      </c>
      <c r="G58" s="242">
        <f>SUM(D58+E58-F58)</f>
        <v>3193227</v>
      </c>
      <c r="H58" s="678">
        <f>H60+H66+H72</f>
        <v>3127000</v>
      </c>
      <c r="I58" s="243">
        <f>G58-H58</f>
        <v>66227</v>
      </c>
      <c r="J58" s="31"/>
      <c r="K58" s="31"/>
      <c r="L58" s="31"/>
    </row>
    <row r="59" spans="1:12" s="13" customFormat="1" ht="25.5" customHeight="1">
      <c r="A59" s="41"/>
      <c r="B59" s="26">
        <v>5310</v>
      </c>
      <c r="C59" s="26"/>
      <c r="D59" s="634"/>
      <c r="E59" s="634"/>
      <c r="F59" s="244"/>
      <c r="G59" s="255"/>
      <c r="H59" s="634"/>
      <c r="I59" s="246"/>
      <c r="J59" s="31"/>
      <c r="K59" s="31"/>
      <c r="L59" s="31"/>
    </row>
    <row r="60" spans="1:12" s="13" customFormat="1" ht="30" customHeight="1">
      <c r="A60" s="34"/>
      <c r="B60" s="32" t="s">
        <v>473</v>
      </c>
      <c r="C60" s="24"/>
      <c r="D60" s="678">
        <f>D62+D64</f>
        <v>0</v>
      </c>
      <c r="E60" s="678">
        <f>E62+E64</f>
        <v>815475</v>
      </c>
      <c r="F60" s="242">
        <f>F62+F64</f>
        <v>0</v>
      </c>
      <c r="G60" s="242">
        <f>SUM(D60+E60-F60)</f>
        <v>815475</v>
      </c>
      <c r="H60" s="678">
        <f>H62+H64</f>
        <v>980000</v>
      </c>
      <c r="I60" s="243">
        <f>G60-H60</f>
        <v>-164525</v>
      </c>
      <c r="J60" s="31"/>
      <c r="K60" s="31"/>
      <c r="L60" s="31"/>
    </row>
    <row r="61" spans="1:12" s="13" customFormat="1" ht="25.5" customHeight="1">
      <c r="A61" s="34"/>
      <c r="B61" s="27"/>
      <c r="C61" s="26">
        <v>5311</v>
      </c>
      <c r="D61" s="634"/>
      <c r="E61" s="634"/>
      <c r="F61" s="244"/>
      <c r="G61" s="245"/>
      <c r="H61" s="679"/>
      <c r="I61" s="246"/>
      <c r="J61" s="31"/>
      <c r="K61" s="31"/>
      <c r="L61" s="31"/>
    </row>
    <row r="62" spans="1:9" s="13" customFormat="1" ht="28.5" customHeight="1">
      <c r="A62" s="34"/>
      <c r="B62" s="27"/>
      <c r="C62" s="24" t="s">
        <v>474</v>
      </c>
      <c r="D62" s="681">
        <f>'(수입-등록금회계)'!D83</f>
        <v>0</v>
      </c>
      <c r="E62" s="681">
        <f>'(수입-비등록금회계)'!D95</f>
        <v>0</v>
      </c>
      <c r="F62" s="251">
        <v>0</v>
      </c>
      <c r="G62" s="242">
        <f>SUM(D62+E62-F62)</f>
        <v>0</v>
      </c>
      <c r="H62" s="678">
        <v>0</v>
      </c>
      <c r="I62" s="243">
        <f>G62-H62</f>
        <v>0</v>
      </c>
    </row>
    <row r="63" spans="1:12" s="13" customFormat="1" ht="20.25" customHeight="1">
      <c r="A63" s="34"/>
      <c r="B63" s="27"/>
      <c r="C63" s="26">
        <v>5312</v>
      </c>
      <c r="D63" s="634"/>
      <c r="E63" s="634"/>
      <c r="F63" s="244"/>
      <c r="G63" s="245"/>
      <c r="H63" s="679"/>
      <c r="I63" s="246"/>
      <c r="J63" s="31"/>
      <c r="K63" s="31"/>
      <c r="L63" s="31"/>
    </row>
    <row r="64" spans="1:12" s="13" customFormat="1" ht="30" customHeight="1">
      <c r="A64" s="34"/>
      <c r="B64" s="24"/>
      <c r="C64" s="24" t="s">
        <v>475</v>
      </c>
      <c r="D64" s="681">
        <f>'(수입-등록금회계)'!D85</f>
        <v>0</v>
      </c>
      <c r="E64" s="681">
        <v>815475</v>
      </c>
      <c r="F64" s="251">
        <v>0</v>
      </c>
      <c r="G64" s="242">
        <f>SUM(D64+E64-F64)</f>
        <v>815475</v>
      </c>
      <c r="H64" s="678">
        <v>980000</v>
      </c>
      <c r="I64" s="243">
        <f>G64-H64</f>
        <v>-164525</v>
      </c>
      <c r="J64" s="31"/>
      <c r="K64" s="31"/>
      <c r="L64" s="31"/>
    </row>
    <row r="65" spans="1:12" s="13" customFormat="1" ht="22.5" customHeight="1">
      <c r="A65" s="34"/>
      <c r="B65" s="26">
        <v>5320</v>
      </c>
      <c r="C65" s="27"/>
      <c r="D65" s="634"/>
      <c r="E65" s="634"/>
      <c r="F65" s="244"/>
      <c r="G65" s="245"/>
      <c r="H65" s="679"/>
      <c r="I65" s="246"/>
      <c r="J65" s="31"/>
      <c r="K65" s="31"/>
      <c r="L65" s="31"/>
    </row>
    <row r="66" spans="1:12" s="13" customFormat="1" ht="30" customHeight="1">
      <c r="A66" s="25"/>
      <c r="B66" s="27" t="s">
        <v>476</v>
      </c>
      <c r="C66" s="24"/>
      <c r="D66" s="678">
        <f>D68+D70</f>
        <v>0</v>
      </c>
      <c r="E66" s="678">
        <f>E68+E70</f>
        <v>127496</v>
      </c>
      <c r="F66" s="242">
        <f>F68+F70</f>
        <v>0</v>
      </c>
      <c r="G66" s="242">
        <f>SUM(D66+E66-F66)</f>
        <v>127496</v>
      </c>
      <c r="H66" s="678">
        <f>H68+H70</f>
        <v>166500</v>
      </c>
      <c r="I66" s="243">
        <f>G66-H66</f>
        <v>-39004</v>
      </c>
      <c r="J66" s="31"/>
      <c r="K66" s="31"/>
      <c r="L66" s="31"/>
    </row>
    <row r="67" spans="1:12" s="13" customFormat="1" ht="21.75" customHeight="1">
      <c r="A67" s="34"/>
      <c r="B67" s="27"/>
      <c r="C67" s="26">
        <v>5321</v>
      </c>
      <c r="D67" s="634"/>
      <c r="E67" s="634"/>
      <c r="F67" s="244"/>
      <c r="G67" s="245"/>
      <c r="H67" s="679"/>
      <c r="I67" s="246"/>
      <c r="J67" s="31"/>
      <c r="K67" s="31"/>
      <c r="L67" s="31"/>
    </row>
    <row r="68" spans="1:12" s="13" customFormat="1" ht="30" customHeight="1">
      <c r="A68" s="1093"/>
      <c r="B68" s="949"/>
      <c r="C68" s="949" t="s">
        <v>477</v>
      </c>
      <c r="D68" s="684">
        <f>'(수입-등록금회계)'!D90</f>
        <v>0</v>
      </c>
      <c r="E68" s="684">
        <v>14046</v>
      </c>
      <c r="F68" s="336">
        <v>0</v>
      </c>
      <c r="G68" s="337">
        <f>SUM(D68+E68-F68)</f>
        <v>14046</v>
      </c>
      <c r="H68" s="893">
        <v>14500</v>
      </c>
      <c r="I68" s="338">
        <f>G68-H68</f>
        <v>-454</v>
      </c>
      <c r="J68" s="31"/>
      <c r="K68" s="31"/>
      <c r="L68" s="31"/>
    </row>
    <row r="69" spans="1:12" s="13" customFormat="1" ht="24" customHeight="1">
      <c r="A69" s="34"/>
      <c r="B69" s="27"/>
      <c r="C69" s="26">
        <v>5322</v>
      </c>
      <c r="D69" s="634"/>
      <c r="E69" s="634"/>
      <c r="F69" s="244"/>
      <c r="G69" s="245"/>
      <c r="H69" s="679"/>
      <c r="I69" s="246"/>
      <c r="J69" s="31"/>
      <c r="K69" s="31"/>
      <c r="L69" s="31"/>
    </row>
    <row r="70" spans="1:12" s="13" customFormat="1" ht="24.75" customHeight="1">
      <c r="A70" s="25"/>
      <c r="B70" s="24"/>
      <c r="C70" s="24" t="s">
        <v>478</v>
      </c>
      <c r="D70" s="681">
        <f>'(수입-등록금회계)'!D93</f>
        <v>0</v>
      </c>
      <c r="E70" s="681">
        <v>113450</v>
      </c>
      <c r="F70" s="251">
        <v>0</v>
      </c>
      <c r="G70" s="242">
        <f>SUM(D70+E70-F70)</f>
        <v>113450</v>
      </c>
      <c r="H70" s="678">
        <v>152000</v>
      </c>
      <c r="I70" s="243">
        <f>G70-H70</f>
        <v>-38550</v>
      </c>
      <c r="J70" s="31"/>
      <c r="K70" s="31"/>
      <c r="L70" s="31"/>
    </row>
    <row r="71" spans="1:12" s="13" customFormat="1" ht="22.5" customHeight="1">
      <c r="A71" s="25"/>
      <c r="B71" s="28">
        <v>5330</v>
      </c>
      <c r="C71" s="28"/>
      <c r="D71" s="680"/>
      <c r="E71" s="680"/>
      <c r="F71" s="247"/>
      <c r="G71" s="248"/>
      <c r="H71" s="892"/>
      <c r="I71" s="249"/>
      <c r="J71" s="31"/>
      <c r="K71" s="31"/>
      <c r="L71" s="31"/>
    </row>
    <row r="72" spans="1:12" s="13" customFormat="1" ht="30" customHeight="1">
      <c r="A72" s="25"/>
      <c r="B72" s="32" t="s">
        <v>479</v>
      </c>
      <c r="C72" s="24"/>
      <c r="D72" s="678">
        <f>SUM(D76,D74)</f>
        <v>0</v>
      </c>
      <c r="E72" s="678">
        <f>SUM(E76,E74)</f>
        <v>2250256</v>
      </c>
      <c r="F72" s="242">
        <f>SUM(F76,F74)</f>
        <v>0</v>
      </c>
      <c r="G72" s="242">
        <f>SUM(D72+E72-F72)</f>
        <v>2250256</v>
      </c>
      <c r="H72" s="678">
        <f>SUM(H76,H74)</f>
        <v>1980500</v>
      </c>
      <c r="I72" s="243">
        <f>G72-H72</f>
        <v>269756</v>
      </c>
      <c r="J72" s="31"/>
      <c r="K72" s="31"/>
      <c r="L72" s="31"/>
    </row>
    <row r="73" spans="1:12" s="13" customFormat="1" ht="30" customHeight="1">
      <c r="A73" s="34"/>
      <c r="B73" s="32"/>
      <c r="C73" s="27">
        <v>5331</v>
      </c>
      <c r="D73" s="634"/>
      <c r="E73" s="634"/>
      <c r="F73" s="244"/>
      <c r="G73" s="245"/>
      <c r="H73" s="679"/>
      <c r="I73" s="246"/>
      <c r="J73" s="31"/>
      <c r="K73" s="31"/>
      <c r="L73" s="31"/>
    </row>
    <row r="74" spans="1:12" s="13" customFormat="1" ht="30" customHeight="1">
      <c r="A74" s="25"/>
      <c r="B74" s="32"/>
      <c r="C74" s="33" t="s">
        <v>480</v>
      </c>
      <c r="D74" s="681">
        <f>'(수입-등록금회계)'!D97</f>
        <v>0</v>
      </c>
      <c r="E74" s="681">
        <v>2000</v>
      </c>
      <c r="F74" s="251">
        <v>0</v>
      </c>
      <c r="G74" s="242">
        <f>SUM(D74+E74-F74)</f>
        <v>2000</v>
      </c>
      <c r="H74" s="678">
        <v>40500</v>
      </c>
      <c r="I74" s="243">
        <f>G74-H74</f>
        <v>-38500</v>
      </c>
      <c r="J74" s="31"/>
      <c r="K74" s="31"/>
      <c r="L74" s="31"/>
    </row>
    <row r="75" spans="1:12" s="13" customFormat="1" ht="30" customHeight="1">
      <c r="A75" s="34"/>
      <c r="B75" s="27"/>
      <c r="C75" s="32" t="s">
        <v>481</v>
      </c>
      <c r="D75" s="683"/>
      <c r="E75" s="683"/>
      <c r="F75" s="256"/>
      <c r="G75" s="245"/>
      <c r="H75" s="679"/>
      <c r="I75" s="246"/>
      <c r="J75" s="31"/>
      <c r="K75" s="31"/>
      <c r="L75" s="31"/>
    </row>
    <row r="76" spans="1:12" s="13" customFormat="1" ht="30" customHeight="1">
      <c r="A76" s="335"/>
      <c r="B76" s="24"/>
      <c r="C76" s="33" t="s">
        <v>479</v>
      </c>
      <c r="D76" s="682">
        <f>'(수입-등록금회계)'!D99</f>
        <v>0</v>
      </c>
      <c r="E76" s="682">
        <v>2248256</v>
      </c>
      <c r="F76" s="254">
        <v>0</v>
      </c>
      <c r="G76" s="242">
        <f>SUM(D76+E76-F76)</f>
        <v>2248256</v>
      </c>
      <c r="H76" s="678">
        <v>1940000</v>
      </c>
      <c r="I76" s="243">
        <f>G76-H76</f>
        <v>308256</v>
      </c>
      <c r="J76" s="31"/>
      <c r="K76" s="31"/>
      <c r="L76" s="31"/>
    </row>
    <row r="77" spans="1:12" s="13" customFormat="1" ht="24" customHeight="1">
      <c r="A77" s="41">
        <v>5400</v>
      </c>
      <c r="B77" s="27"/>
      <c r="C77" s="27"/>
      <c r="D77" s="634"/>
      <c r="E77" s="634"/>
      <c r="F77" s="244"/>
      <c r="G77" s="245"/>
      <c r="H77" s="679"/>
      <c r="I77" s="246"/>
      <c r="J77" s="31"/>
      <c r="K77" s="31"/>
      <c r="L77" s="31"/>
    </row>
    <row r="78" spans="1:12" s="13" customFormat="1" ht="30" customHeight="1">
      <c r="A78" s="331" t="s">
        <v>482</v>
      </c>
      <c r="B78" s="24"/>
      <c r="C78" s="24"/>
      <c r="D78" s="678">
        <f>D80+D84</f>
        <v>749700</v>
      </c>
      <c r="E78" s="678">
        <f>E80+E84</f>
        <v>1881125</v>
      </c>
      <c r="F78" s="242">
        <f>F80+F84</f>
        <v>0</v>
      </c>
      <c r="G78" s="242">
        <f>SUM(D78+E78-F78)</f>
        <v>2630825</v>
      </c>
      <c r="H78" s="678">
        <f>H80+H84</f>
        <v>2959520</v>
      </c>
      <c r="I78" s="243">
        <f>G78-H78</f>
        <v>-328695</v>
      </c>
      <c r="J78" s="31"/>
      <c r="K78" s="31"/>
      <c r="L78" s="31"/>
    </row>
    <row r="79" spans="1:12" s="13" customFormat="1" ht="20.25" customHeight="1">
      <c r="A79" s="34"/>
      <c r="B79" s="26">
        <v>5410</v>
      </c>
      <c r="C79" s="27"/>
      <c r="D79" s="634"/>
      <c r="E79" s="634"/>
      <c r="F79" s="244"/>
      <c r="G79" s="245"/>
      <c r="H79" s="679"/>
      <c r="I79" s="246"/>
      <c r="J79" s="31"/>
      <c r="K79" s="31"/>
      <c r="L79" s="31"/>
    </row>
    <row r="80" spans="1:12" s="13" customFormat="1" ht="30" customHeight="1">
      <c r="A80" s="25"/>
      <c r="B80" s="32" t="s">
        <v>483</v>
      </c>
      <c r="C80" s="24"/>
      <c r="D80" s="678">
        <f>D82</f>
        <v>712086</v>
      </c>
      <c r="E80" s="678">
        <f>E82</f>
        <v>1861261</v>
      </c>
      <c r="F80" s="242">
        <f>F82</f>
        <v>0</v>
      </c>
      <c r="G80" s="242">
        <f>SUM(D80+E80-F80)</f>
        <v>2573347</v>
      </c>
      <c r="H80" s="678">
        <f>H82</f>
        <v>2650000</v>
      </c>
      <c r="I80" s="243">
        <f>G80-H80</f>
        <v>-76653</v>
      </c>
      <c r="J80" s="31"/>
      <c r="K80" s="31"/>
      <c r="L80" s="31"/>
    </row>
    <row r="81" spans="1:12" s="13" customFormat="1" ht="24" customHeight="1">
      <c r="A81" s="34"/>
      <c r="B81" s="27"/>
      <c r="C81" s="26">
        <v>5411</v>
      </c>
      <c r="D81" s="634"/>
      <c r="E81" s="634"/>
      <c r="F81" s="244"/>
      <c r="G81" s="245"/>
      <c r="H81" s="679">
        <v>0</v>
      </c>
      <c r="I81" s="246"/>
      <c r="J81" s="31"/>
      <c r="K81" s="31"/>
      <c r="L81" s="31"/>
    </row>
    <row r="82" spans="1:12" s="13" customFormat="1" ht="30" customHeight="1">
      <c r="A82" s="25"/>
      <c r="B82" s="24"/>
      <c r="C82" s="306" t="s">
        <v>484</v>
      </c>
      <c r="D82" s="684">
        <v>712086</v>
      </c>
      <c r="E82" s="684">
        <v>1861261</v>
      </c>
      <c r="F82" s="336">
        <v>0</v>
      </c>
      <c r="G82" s="337">
        <f>SUM(D82+E82-F82)</f>
        <v>2573347</v>
      </c>
      <c r="H82" s="893">
        <v>2650000</v>
      </c>
      <c r="I82" s="338">
        <f>G82-H82</f>
        <v>-76653</v>
      </c>
      <c r="J82" s="31"/>
      <c r="K82" s="31"/>
      <c r="L82" s="31"/>
    </row>
    <row r="83" spans="1:12" s="13" customFormat="1" ht="23.25" customHeight="1">
      <c r="A83" s="34"/>
      <c r="B83" s="27">
        <v>5420</v>
      </c>
      <c r="C83" s="26"/>
      <c r="D83" s="634"/>
      <c r="E83" s="634"/>
      <c r="F83" s="244"/>
      <c r="G83" s="245"/>
      <c r="H83" s="679"/>
      <c r="I83" s="246"/>
      <c r="J83" s="31"/>
      <c r="K83" s="31"/>
      <c r="L83" s="31"/>
    </row>
    <row r="84" spans="1:12" s="13" customFormat="1" ht="30" customHeight="1">
      <c r="A84" s="29"/>
      <c r="B84" s="124" t="s">
        <v>485</v>
      </c>
      <c r="C84" s="30"/>
      <c r="D84" s="685">
        <f>D86</f>
        <v>37614</v>
      </c>
      <c r="E84" s="685">
        <f>E86</f>
        <v>19864</v>
      </c>
      <c r="F84" s="223">
        <f>F86</f>
        <v>0</v>
      </c>
      <c r="G84" s="223">
        <f>SUM(D84+E84-F84)</f>
        <v>57478</v>
      </c>
      <c r="H84" s="685">
        <f>H86</f>
        <v>309520</v>
      </c>
      <c r="I84" s="253">
        <f>G84-H84</f>
        <v>-252042</v>
      </c>
      <c r="J84" s="31"/>
      <c r="K84" s="31"/>
      <c r="L84" s="31"/>
    </row>
    <row r="85" spans="1:12" s="13" customFormat="1" ht="30" customHeight="1">
      <c r="A85" s="34"/>
      <c r="B85" s="27"/>
      <c r="C85" s="27">
        <v>5421</v>
      </c>
      <c r="D85" s="634"/>
      <c r="E85" s="634"/>
      <c r="F85" s="244"/>
      <c r="G85" s="245"/>
      <c r="H85" s="679"/>
      <c r="I85" s="246"/>
      <c r="J85" s="31"/>
      <c r="K85" s="31"/>
      <c r="L85" s="31"/>
    </row>
    <row r="86" spans="1:12" s="13" customFormat="1" ht="30" customHeight="1">
      <c r="A86" s="334"/>
      <c r="B86" s="232"/>
      <c r="C86" s="232" t="s">
        <v>486</v>
      </c>
      <c r="D86" s="686">
        <v>37614</v>
      </c>
      <c r="E86" s="686">
        <v>19864</v>
      </c>
      <c r="F86" s="257">
        <v>0</v>
      </c>
      <c r="G86" s="258">
        <f>SUM(D86+E86-F86)</f>
        <v>57478</v>
      </c>
      <c r="H86" s="688">
        <v>309520</v>
      </c>
      <c r="I86" s="260">
        <f>G86-H86</f>
        <v>-252042</v>
      </c>
      <c r="J86" s="31"/>
      <c r="K86" s="31"/>
      <c r="L86" s="31"/>
    </row>
    <row r="87" spans="1:12" s="13" customFormat="1" ht="30" customHeight="1">
      <c r="A87" s="34">
        <v>1200</v>
      </c>
      <c r="B87" s="27"/>
      <c r="C87" s="27"/>
      <c r="D87" s="634"/>
      <c r="E87" s="634"/>
      <c r="F87" s="244"/>
      <c r="G87" s="245"/>
      <c r="H87" s="679"/>
      <c r="I87" s="246"/>
      <c r="J87" s="31"/>
      <c r="K87" s="31"/>
      <c r="L87" s="31"/>
    </row>
    <row r="88" spans="1:12" s="13" customFormat="1" ht="30" customHeight="1">
      <c r="A88" s="42" t="s">
        <v>487</v>
      </c>
      <c r="B88" s="24"/>
      <c r="C88" s="24"/>
      <c r="D88" s="678">
        <f>D90+D98+D94</f>
        <v>0</v>
      </c>
      <c r="E88" s="678">
        <f>E90+E98+E94</f>
        <v>38281843</v>
      </c>
      <c r="F88" s="242">
        <f>F90+F98+F94</f>
        <v>0</v>
      </c>
      <c r="G88" s="242">
        <f>SUM(D88+E88-F88)</f>
        <v>38281843</v>
      </c>
      <c r="H88" s="678">
        <f>H90+H98+H94</f>
        <v>15002000</v>
      </c>
      <c r="I88" s="243">
        <f>G88-H88</f>
        <v>23279843</v>
      </c>
      <c r="J88" s="31"/>
      <c r="K88" s="31"/>
      <c r="L88" s="31"/>
    </row>
    <row r="89" spans="1:12" s="13" customFormat="1" ht="30" customHeight="1">
      <c r="A89" s="34"/>
      <c r="B89" s="27">
        <v>1220</v>
      </c>
      <c r="C89" s="27"/>
      <c r="D89" s="634"/>
      <c r="E89" s="634"/>
      <c r="F89" s="244"/>
      <c r="G89" s="245"/>
      <c r="H89" s="679"/>
      <c r="I89" s="246"/>
      <c r="J89" s="31"/>
      <c r="K89" s="31"/>
      <c r="L89" s="31"/>
    </row>
    <row r="90" spans="1:12" s="13" customFormat="1" ht="30" customHeight="1">
      <c r="A90" s="34"/>
      <c r="B90" s="32" t="s">
        <v>488</v>
      </c>
      <c r="C90" s="24"/>
      <c r="D90" s="678">
        <f>SUM(D92)</f>
        <v>0</v>
      </c>
      <c r="E90" s="678">
        <f>SUM(E92)</f>
        <v>0</v>
      </c>
      <c r="F90" s="242">
        <f>SUM(F92)</f>
        <v>0</v>
      </c>
      <c r="G90" s="242">
        <f>SUM(D90+E90-F90)</f>
        <v>0</v>
      </c>
      <c r="H90" s="678">
        <f>SUM(H92)</f>
        <v>0</v>
      </c>
      <c r="I90" s="243">
        <f>G90-H90</f>
        <v>0</v>
      </c>
      <c r="J90" s="31"/>
      <c r="K90" s="31"/>
      <c r="L90" s="190"/>
    </row>
    <row r="91" spans="1:12" s="13" customFormat="1" ht="30" customHeight="1">
      <c r="A91" s="34"/>
      <c r="B91" s="27"/>
      <c r="C91" s="27">
        <v>1221</v>
      </c>
      <c r="D91" s="634"/>
      <c r="E91" s="634"/>
      <c r="F91" s="244"/>
      <c r="G91" s="245"/>
      <c r="H91" s="679"/>
      <c r="I91" s="246"/>
      <c r="J91" s="31"/>
      <c r="K91" s="31"/>
      <c r="L91" s="31"/>
    </row>
    <row r="92" spans="1:12" s="13" customFormat="1" ht="30" customHeight="1">
      <c r="A92" s="25"/>
      <c r="B92" s="24"/>
      <c r="C92" s="33" t="s">
        <v>489</v>
      </c>
      <c r="D92" s="682">
        <f>'(수입-등록금회계)'!D123</f>
        <v>0</v>
      </c>
      <c r="E92" s="682">
        <f>'(수입-비등록금회계)'!D144</f>
        <v>0</v>
      </c>
      <c r="F92" s="254">
        <v>0</v>
      </c>
      <c r="G92" s="242">
        <f>SUM(D92+E92-F92)</f>
        <v>0</v>
      </c>
      <c r="H92" s="678">
        <v>0</v>
      </c>
      <c r="I92" s="243">
        <f>G92-H92</f>
        <v>0</v>
      </c>
      <c r="J92" s="31"/>
      <c r="K92" s="31"/>
      <c r="L92" s="31"/>
    </row>
    <row r="93" spans="1:12" s="13" customFormat="1" ht="30" customHeight="1">
      <c r="A93" s="34"/>
      <c r="B93" s="93">
        <v>1240</v>
      </c>
      <c r="C93" s="28"/>
      <c r="D93" s="680"/>
      <c r="E93" s="680"/>
      <c r="F93" s="247"/>
      <c r="G93" s="248"/>
      <c r="H93" s="892"/>
      <c r="I93" s="249"/>
      <c r="J93" s="31"/>
      <c r="K93" s="31"/>
      <c r="L93" s="31"/>
    </row>
    <row r="94" spans="1:12" s="13" customFormat="1" ht="30" customHeight="1">
      <c r="A94" s="34"/>
      <c r="B94" s="32" t="s">
        <v>490</v>
      </c>
      <c r="C94" s="24"/>
      <c r="D94" s="678">
        <f>D96</f>
        <v>0</v>
      </c>
      <c r="E94" s="678">
        <f>E96</f>
        <v>0</v>
      </c>
      <c r="F94" s="242">
        <f>F96</f>
        <v>0</v>
      </c>
      <c r="G94" s="242">
        <f>SUM(D94+E94-F94)</f>
        <v>0</v>
      </c>
      <c r="H94" s="678">
        <f>H96</f>
        <v>0</v>
      </c>
      <c r="I94" s="243">
        <f>G94-H94</f>
        <v>0</v>
      </c>
      <c r="J94" s="31"/>
      <c r="K94" s="31"/>
      <c r="L94" s="31"/>
    </row>
    <row r="95" spans="1:12" s="13" customFormat="1" ht="30" customHeight="1">
      <c r="A95" s="34"/>
      <c r="B95" s="27"/>
      <c r="C95" s="27">
        <v>1242</v>
      </c>
      <c r="D95" s="634"/>
      <c r="E95" s="634"/>
      <c r="F95" s="244"/>
      <c r="G95" s="245"/>
      <c r="H95" s="679"/>
      <c r="I95" s="246"/>
      <c r="J95" s="31"/>
      <c r="K95" s="31"/>
      <c r="L95" s="31"/>
    </row>
    <row r="96" spans="1:12" s="13" customFormat="1" ht="30" customHeight="1">
      <c r="A96" s="25"/>
      <c r="B96" s="232"/>
      <c r="C96" s="298" t="s">
        <v>491</v>
      </c>
      <c r="D96" s="687">
        <f>'(수입-등록금회계)'!D127</f>
        <v>0</v>
      </c>
      <c r="E96" s="687">
        <f>'(수입-비등록금회계)'!D148</f>
        <v>0</v>
      </c>
      <c r="F96" s="339">
        <v>0</v>
      </c>
      <c r="G96" s="258">
        <f>SUM(D96+E96-F96)</f>
        <v>0</v>
      </c>
      <c r="H96" s="688">
        <v>0</v>
      </c>
      <c r="I96" s="260">
        <f>G96-H96</f>
        <v>0</v>
      </c>
      <c r="J96" s="31"/>
      <c r="K96" s="31"/>
      <c r="L96" s="31"/>
    </row>
    <row r="97" spans="1:12" s="13" customFormat="1" ht="30" customHeight="1">
      <c r="A97" s="25"/>
      <c r="B97" s="32">
        <v>1260</v>
      </c>
      <c r="C97" s="27"/>
      <c r="D97" s="634"/>
      <c r="E97" s="634"/>
      <c r="F97" s="244"/>
      <c r="G97" s="245"/>
      <c r="H97" s="679"/>
      <c r="I97" s="246"/>
      <c r="J97" s="31"/>
      <c r="K97" s="31"/>
      <c r="L97" s="31"/>
    </row>
    <row r="98" spans="1:12" s="13" customFormat="1" ht="30" customHeight="1">
      <c r="A98" s="25"/>
      <c r="B98" s="951" t="s">
        <v>492</v>
      </c>
      <c r="C98" s="949"/>
      <c r="D98" s="893">
        <f>D100+D102+D106+D104</f>
        <v>0</v>
      </c>
      <c r="E98" s="893">
        <f>E100+E102+E106+E104</f>
        <v>38281843</v>
      </c>
      <c r="F98" s="337">
        <f>F100+F102+F106</f>
        <v>0</v>
      </c>
      <c r="G98" s="337">
        <f>SUM(D98+E98-F98)</f>
        <v>38281843</v>
      </c>
      <c r="H98" s="893">
        <f>H100+H102+H106</f>
        <v>15002000</v>
      </c>
      <c r="I98" s="338">
        <f>G98-H98</f>
        <v>23279843</v>
      </c>
      <c r="J98" s="31"/>
      <c r="K98" s="31"/>
      <c r="L98" s="31"/>
    </row>
    <row r="99" spans="1:12" s="13" customFormat="1" ht="30" customHeight="1">
      <c r="A99" s="34"/>
      <c r="B99" s="32"/>
      <c r="C99" s="27">
        <v>1262</v>
      </c>
      <c r="D99" s="634"/>
      <c r="E99" s="634"/>
      <c r="F99" s="244"/>
      <c r="G99" s="245"/>
      <c r="H99" s="679"/>
      <c r="I99" s="246"/>
      <c r="J99" s="31"/>
      <c r="K99" s="31"/>
      <c r="L99" s="31"/>
    </row>
    <row r="100" spans="1:12" s="13" customFormat="1" ht="30" customHeight="1">
      <c r="A100" s="25"/>
      <c r="B100" s="32"/>
      <c r="C100" s="298" t="s">
        <v>493</v>
      </c>
      <c r="D100" s="686">
        <f>'(수입-등록금회계)'!D132</f>
        <v>0</v>
      </c>
      <c r="E100" s="686">
        <v>0</v>
      </c>
      <c r="F100" s="257">
        <v>0</v>
      </c>
      <c r="G100" s="258">
        <f>SUM(D100+E100-F100)</f>
        <v>0</v>
      </c>
      <c r="H100" s="688">
        <v>2000</v>
      </c>
      <c r="I100" s="260">
        <f>G100-H100</f>
        <v>-2000</v>
      </c>
      <c r="J100" s="31"/>
      <c r="K100" s="31"/>
      <c r="L100" s="31"/>
    </row>
    <row r="101" spans="1:12" s="13" customFormat="1" ht="30" customHeight="1">
      <c r="A101" s="34"/>
      <c r="B101" s="27"/>
      <c r="C101" s="27">
        <v>1263</v>
      </c>
      <c r="D101" s="634"/>
      <c r="E101" s="634"/>
      <c r="F101" s="244"/>
      <c r="G101" s="245"/>
      <c r="H101" s="679"/>
      <c r="I101" s="246"/>
      <c r="J101" s="31"/>
      <c r="K101" s="31"/>
      <c r="L101" s="31"/>
    </row>
    <row r="102" spans="1:12" s="13" customFormat="1" ht="30" customHeight="1">
      <c r="A102" s="34"/>
      <c r="B102" s="27"/>
      <c r="C102" s="33" t="s">
        <v>494</v>
      </c>
      <c r="D102" s="681">
        <f>'(수입-등록금회계)'!D134</f>
        <v>0</v>
      </c>
      <c r="E102" s="681">
        <v>19224901</v>
      </c>
      <c r="F102" s="251">
        <v>0</v>
      </c>
      <c r="G102" s="242">
        <f>SUM(D102+E102-F102)</f>
        <v>19224901</v>
      </c>
      <c r="H102" s="678">
        <v>15000000</v>
      </c>
      <c r="I102" s="243">
        <f>G102-H102</f>
        <v>4224901</v>
      </c>
      <c r="J102" s="31"/>
      <c r="K102" s="31"/>
      <c r="L102" s="31"/>
    </row>
    <row r="103" spans="1:12" s="13" customFormat="1" ht="30" customHeight="1">
      <c r="A103" s="34"/>
      <c r="B103" s="27"/>
      <c r="C103" s="32">
        <v>1264</v>
      </c>
      <c r="D103" s="634"/>
      <c r="E103" s="634"/>
      <c r="F103" s="244"/>
      <c r="G103" s="245"/>
      <c r="H103" s="679"/>
      <c r="I103" s="246"/>
      <c r="J103" s="31"/>
      <c r="K103" s="31"/>
      <c r="L103" s="31"/>
    </row>
    <row r="104" spans="1:12" s="13" customFormat="1" ht="30" customHeight="1">
      <c r="A104" s="34"/>
      <c r="B104" s="27"/>
      <c r="C104" s="490" t="s">
        <v>874</v>
      </c>
      <c r="D104" s="681">
        <f>'(수입-등록금회계)'!D136</f>
        <v>0</v>
      </c>
      <c r="E104" s="681">
        <f>'(수입-비등록금회계)'!D158</f>
        <v>0</v>
      </c>
      <c r="F104" s="251">
        <v>0</v>
      </c>
      <c r="G104" s="242">
        <f>SUM(D104+E104-F104)</f>
        <v>0</v>
      </c>
      <c r="H104" s="678">
        <v>0</v>
      </c>
      <c r="I104" s="243">
        <f>G104-H104</f>
        <v>0</v>
      </c>
      <c r="J104" s="31"/>
      <c r="K104" s="31"/>
      <c r="L104" s="31"/>
    </row>
    <row r="105" spans="1:12" s="13" customFormat="1" ht="30" customHeight="1">
      <c r="A105" s="34"/>
      <c r="B105" s="27"/>
      <c r="C105" s="27">
        <v>1266</v>
      </c>
      <c r="D105" s="634"/>
      <c r="E105" s="634"/>
      <c r="F105" s="244"/>
      <c r="G105" s="245"/>
      <c r="H105" s="679"/>
      <c r="I105" s="246"/>
      <c r="J105" s="31"/>
      <c r="K105" s="31"/>
      <c r="L105" s="31"/>
    </row>
    <row r="106" spans="1:12" s="13" customFormat="1" ht="30" customHeight="1">
      <c r="A106" s="334"/>
      <c r="B106" s="232"/>
      <c r="C106" s="490" t="s">
        <v>1524</v>
      </c>
      <c r="D106" s="681">
        <f>'(수입-등록금회계)'!D138</f>
        <v>0</v>
      </c>
      <c r="E106" s="681">
        <v>19056942</v>
      </c>
      <c r="F106" s="251">
        <v>0</v>
      </c>
      <c r="G106" s="242">
        <f>SUM(D106+E106-F106)</f>
        <v>19056942</v>
      </c>
      <c r="H106" s="678">
        <v>0</v>
      </c>
      <c r="I106" s="243">
        <f>G106-H106</f>
        <v>19056942</v>
      </c>
      <c r="J106" s="31"/>
      <c r="K106" s="31"/>
      <c r="L106" s="31"/>
    </row>
    <row r="107" spans="1:12" s="13" customFormat="1" ht="30" customHeight="1">
      <c r="A107" s="41">
        <v>1300</v>
      </c>
      <c r="B107" s="26"/>
      <c r="C107" s="26"/>
      <c r="D107" s="634"/>
      <c r="E107" s="634"/>
      <c r="F107" s="244"/>
      <c r="G107" s="255"/>
      <c r="H107" s="634"/>
      <c r="I107" s="246"/>
      <c r="J107" s="31"/>
      <c r="K107" s="31"/>
      <c r="L107" s="31"/>
    </row>
    <row r="108" spans="1:12" s="13" customFormat="1" ht="30" customHeight="1">
      <c r="A108" s="331" t="s">
        <v>495</v>
      </c>
      <c r="B108" s="340"/>
      <c r="C108" s="340"/>
      <c r="D108" s="681">
        <f>SUM(D110)</f>
        <v>0</v>
      </c>
      <c r="E108" s="681">
        <f>SUM(E110)</f>
        <v>0</v>
      </c>
      <c r="F108" s="250">
        <f>SUM(F110)</f>
        <v>0</v>
      </c>
      <c r="G108" s="242">
        <f>SUM(D108+E108-F108)</f>
        <v>0</v>
      </c>
      <c r="H108" s="681">
        <f>SUM(H110)</f>
        <v>0</v>
      </c>
      <c r="I108" s="243">
        <f>G108-H108</f>
        <v>0</v>
      </c>
      <c r="J108" s="31"/>
      <c r="K108" s="31"/>
      <c r="L108" s="31"/>
    </row>
    <row r="109" spans="1:12" s="13" customFormat="1" ht="30" customHeight="1">
      <c r="A109" s="41"/>
      <c r="B109" s="26">
        <v>1310</v>
      </c>
      <c r="C109" s="26"/>
      <c r="D109" s="634"/>
      <c r="E109" s="634"/>
      <c r="F109" s="244"/>
      <c r="G109" s="255"/>
      <c r="H109" s="634"/>
      <c r="I109" s="246"/>
      <c r="J109" s="31"/>
      <c r="K109" s="31"/>
      <c r="L109" s="31"/>
    </row>
    <row r="110" spans="1:9" s="13" customFormat="1" ht="39" customHeight="1">
      <c r="A110" s="324"/>
      <c r="B110" s="33" t="s">
        <v>496</v>
      </c>
      <c r="C110" s="340"/>
      <c r="D110" s="681">
        <f>SUM(D114,D116,D112,D118)</f>
        <v>0</v>
      </c>
      <c r="E110" s="681">
        <f>E112+E114+E116+E118</f>
        <v>0</v>
      </c>
      <c r="F110" s="250">
        <f>SUM(F114,F116,F112,F118)</f>
        <v>0</v>
      </c>
      <c r="G110" s="242">
        <f>SUM(D110+E110-F110)</f>
        <v>0</v>
      </c>
      <c r="H110" s="681">
        <f>SUM(H114,H116,H112,H118)</f>
        <v>0</v>
      </c>
      <c r="I110" s="243">
        <f>G110-H110</f>
        <v>0</v>
      </c>
    </row>
    <row r="111" spans="1:9" s="13" customFormat="1" ht="28.5" customHeight="1">
      <c r="A111" s="41"/>
      <c r="B111" s="341"/>
      <c r="C111" s="26">
        <v>1311</v>
      </c>
      <c r="D111" s="634"/>
      <c r="E111" s="634"/>
      <c r="F111" s="244"/>
      <c r="G111" s="255"/>
      <c r="H111" s="634"/>
      <c r="I111" s="246"/>
    </row>
    <row r="112" spans="1:9" s="13" customFormat="1" ht="27" customHeight="1">
      <c r="A112" s="41"/>
      <c r="B112" s="341"/>
      <c r="C112" s="306" t="s">
        <v>497</v>
      </c>
      <c r="D112" s="684">
        <f>'(수입-등록금회계)'!D144</f>
        <v>0</v>
      </c>
      <c r="E112" s="684">
        <f>'(수입-비등록금회계)'!D166</f>
        <v>0</v>
      </c>
      <c r="F112" s="336">
        <v>0</v>
      </c>
      <c r="G112" s="337">
        <f>SUM(D112+E112-F112)</f>
        <v>0</v>
      </c>
      <c r="H112" s="684">
        <v>0</v>
      </c>
      <c r="I112" s="338">
        <f>G112-H112</f>
        <v>0</v>
      </c>
    </row>
    <row r="113" spans="1:9" s="13" customFormat="1" ht="24.75" customHeight="1">
      <c r="A113" s="41"/>
      <c r="B113" s="26"/>
      <c r="C113" s="26">
        <v>1314</v>
      </c>
      <c r="D113" s="634"/>
      <c r="E113" s="634"/>
      <c r="F113" s="244"/>
      <c r="G113" s="255"/>
      <c r="H113" s="634"/>
      <c r="I113" s="246"/>
    </row>
    <row r="114" spans="1:9" s="13" customFormat="1" ht="27" customHeight="1">
      <c r="A114" s="41"/>
      <c r="B114" s="26"/>
      <c r="C114" s="951" t="s">
        <v>499</v>
      </c>
      <c r="D114" s="1091">
        <f>'(수입-등록금회계)'!D146</f>
        <v>0</v>
      </c>
      <c r="E114" s="1091">
        <f>'(수입-비등록금회계)'!D168</f>
        <v>0</v>
      </c>
      <c r="F114" s="1092">
        <v>0</v>
      </c>
      <c r="G114" s="337">
        <f>SUM(D114+E114-F114)</f>
        <v>0</v>
      </c>
      <c r="H114" s="684">
        <v>0</v>
      </c>
      <c r="I114" s="338">
        <f>G114-H114</f>
        <v>0</v>
      </c>
    </row>
    <row r="115" spans="1:9" s="13" customFormat="1" ht="22.5" customHeight="1">
      <c r="A115" s="41"/>
      <c r="B115" s="26"/>
      <c r="C115" s="26">
        <v>1315</v>
      </c>
      <c r="D115" s="634"/>
      <c r="E115" s="634"/>
      <c r="F115" s="244"/>
      <c r="G115" s="255"/>
      <c r="H115" s="634"/>
      <c r="I115" s="246"/>
    </row>
    <row r="116" spans="1:9" s="13" customFormat="1" ht="27" customHeight="1">
      <c r="A116" s="41"/>
      <c r="B116" s="26"/>
      <c r="C116" s="33" t="s">
        <v>500</v>
      </c>
      <c r="D116" s="682">
        <f>'(수입-등록금회계)'!D148</f>
        <v>0</v>
      </c>
      <c r="E116" s="682">
        <f>'(수입-비등록금회계)'!D170</f>
        <v>0</v>
      </c>
      <c r="F116" s="254">
        <v>0</v>
      </c>
      <c r="G116" s="242">
        <f>SUM(D116+E116-F116)</f>
        <v>0</v>
      </c>
      <c r="H116" s="681">
        <v>0</v>
      </c>
      <c r="I116" s="243">
        <f>G116-H116</f>
        <v>0</v>
      </c>
    </row>
    <row r="117" spans="1:9" s="13" customFormat="1" ht="22.5" customHeight="1">
      <c r="A117" s="41"/>
      <c r="B117" s="341"/>
      <c r="C117" s="26">
        <v>1316</v>
      </c>
      <c r="D117" s="634"/>
      <c r="E117" s="634"/>
      <c r="F117" s="244"/>
      <c r="G117" s="255"/>
      <c r="H117" s="634"/>
      <c r="I117" s="246"/>
    </row>
    <row r="118" spans="1:9" s="13" customFormat="1" ht="27" customHeight="1">
      <c r="A118" s="342"/>
      <c r="B118" s="343"/>
      <c r="C118" s="298" t="s">
        <v>501</v>
      </c>
      <c r="D118" s="686">
        <f>'(수입-등록금회계)'!D150</f>
        <v>0</v>
      </c>
      <c r="E118" s="686">
        <f>'(수입-비등록금회계)'!D172</f>
        <v>0</v>
      </c>
      <c r="F118" s="257">
        <v>0</v>
      </c>
      <c r="G118" s="258">
        <f>SUM(D118+E118-F118)</f>
        <v>0</v>
      </c>
      <c r="H118" s="686">
        <v>0</v>
      </c>
      <c r="I118" s="260">
        <f>G118-H118</f>
        <v>0</v>
      </c>
    </row>
    <row r="119" spans="1:9" s="13" customFormat="1" ht="21" customHeight="1">
      <c r="A119" s="34">
        <v>2200</v>
      </c>
      <c r="B119" s="27"/>
      <c r="C119" s="27"/>
      <c r="D119" s="634"/>
      <c r="E119" s="634"/>
      <c r="F119" s="244"/>
      <c r="G119" s="245"/>
      <c r="H119" s="679"/>
      <c r="I119" s="246"/>
    </row>
    <row r="120" spans="1:9" s="13" customFormat="1" ht="28.5" customHeight="1">
      <c r="A120" s="331" t="s">
        <v>502</v>
      </c>
      <c r="B120" s="24"/>
      <c r="C120" s="24"/>
      <c r="D120" s="678">
        <f>SUM(D122,D126)</f>
        <v>0</v>
      </c>
      <c r="E120" s="678">
        <f>SUM(E122,E126)</f>
        <v>100400</v>
      </c>
      <c r="F120" s="242">
        <f>SUM(F122,F126)</f>
        <v>0</v>
      </c>
      <c r="G120" s="242">
        <f>SUM(D120+E120-F120)</f>
        <v>100400</v>
      </c>
      <c r="H120" s="678">
        <f>SUM(H122,H126)</f>
        <v>92000</v>
      </c>
      <c r="I120" s="243">
        <f>G120-H120</f>
        <v>8400</v>
      </c>
    </row>
    <row r="121" spans="1:9" s="13" customFormat="1" ht="21" customHeight="1">
      <c r="A121" s="34"/>
      <c r="B121" s="93">
        <v>2210</v>
      </c>
      <c r="C121" s="28"/>
      <c r="D121" s="680"/>
      <c r="E121" s="680"/>
      <c r="F121" s="247"/>
      <c r="G121" s="248"/>
      <c r="H121" s="892"/>
      <c r="I121" s="249"/>
    </row>
    <row r="122" spans="1:9" s="13" customFormat="1" ht="21" customHeight="1">
      <c r="A122" s="34"/>
      <c r="B122" s="27" t="s">
        <v>503</v>
      </c>
      <c r="C122" s="27"/>
      <c r="D122" s="679">
        <f>D124</f>
        <v>0</v>
      </c>
      <c r="E122" s="679">
        <f>E124</f>
        <v>0</v>
      </c>
      <c r="F122" s="245">
        <f>F124</f>
        <v>0</v>
      </c>
      <c r="G122" s="242">
        <f>SUM(D122+E122-F122)</f>
        <v>0</v>
      </c>
      <c r="H122" s="679">
        <f>H124</f>
        <v>0</v>
      </c>
      <c r="I122" s="243">
        <f>G122-H122</f>
        <v>0</v>
      </c>
    </row>
    <row r="123" spans="1:9" s="13" customFormat="1" ht="24" customHeight="1">
      <c r="A123" s="34"/>
      <c r="B123" s="27"/>
      <c r="C123" s="28">
        <v>2211</v>
      </c>
      <c r="D123" s="680"/>
      <c r="E123" s="680"/>
      <c r="F123" s="247"/>
      <c r="G123" s="248"/>
      <c r="H123" s="892"/>
      <c r="I123" s="249"/>
    </row>
    <row r="124" spans="1:9" s="13" customFormat="1" ht="26.25" customHeight="1">
      <c r="A124" s="34"/>
      <c r="B124" s="24"/>
      <c r="C124" s="33" t="s">
        <v>504</v>
      </c>
      <c r="D124" s="682">
        <f>'(수입-등록금회계)'!D157</f>
        <v>0</v>
      </c>
      <c r="E124" s="682">
        <f>'(수입-비등록금회계)'!D179</f>
        <v>0</v>
      </c>
      <c r="F124" s="254">
        <v>0</v>
      </c>
      <c r="G124" s="242">
        <f>SUM(D124+E124-F124)</f>
        <v>0</v>
      </c>
      <c r="H124" s="678">
        <v>0</v>
      </c>
      <c r="I124" s="243">
        <f>G124-H124</f>
        <v>0</v>
      </c>
    </row>
    <row r="125" spans="1:9" s="13" customFormat="1" ht="18.75" customHeight="1">
      <c r="A125" s="25"/>
      <c r="B125" s="93">
        <v>2220</v>
      </c>
      <c r="C125" s="28"/>
      <c r="D125" s="680"/>
      <c r="E125" s="680"/>
      <c r="F125" s="247"/>
      <c r="G125" s="248"/>
      <c r="H125" s="892"/>
      <c r="I125" s="249"/>
    </row>
    <row r="126" spans="1:12" s="13" customFormat="1" ht="24.75" customHeight="1">
      <c r="A126" s="25"/>
      <c r="B126" s="52" t="s">
        <v>505</v>
      </c>
      <c r="C126" s="27"/>
      <c r="D126" s="679">
        <f>D128</f>
        <v>0</v>
      </c>
      <c r="E126" s="679">
        <f>E128</f>
        <v>100400</v>
      </c>
      <c r="F126" s="245">
        <f>F128</f>
        <v>0</v>
      </c>
      <c r="G126" s="242">
        <f>SUM(D126+E126-F126)</f>
        <v>100400</v>
      </c>
      <c r="H126" s="679">
        <f>H128</f>
        <v>92000</v>
      </c>
      <c r="I126" s="243">
        <f>G126-H126</f>
        <v>8400</v>
      </c>
      <c r="J126" s="31"/>
      <c r="K126" s="31"/>
      <c r="L126" s="31"/>
    </row>
    <row r="127" spans="1:12" s="13" customFormat="1" ht="27" customHeight="1">
      <c r="A127" s="25"/>
      <c r="B127" s="27"/>
      <c r="C127" s="28">
        <v>2221</v>
      </c>
      <c r="D127" s="680"/>
      <c r="E127" s="680"/>
      <c r="F127" s="247"/>
      <c r="G127" s="248"/>
      <c r="H127" s="892"/>
      <c r="I127" s="249"/>
      <c r="J127" s="31"/>
      <c r="K127" s="31"/>
      <c r="L127" s="31"/>
    </row>
    <row r="128" spans="1:12" s="13" customFormat="1" ht="27" customHeight="1">
      <c r="A128" s="25"/>
      <c r="B128" s="24"/>
      <c r="C128" s="33" t="s">
        <v>506</v>
      </c>
      <c r="D128" s="682">
        <f>'(수입-등록금회계)'!D161</f>
        <v>0</v>
      </c>
      <c r="E128" s="682">
        <v>100400</v>
      </c>
      <c r="F128" s="254">
        <v>0</v>
      </c>
      <c r="G128" s="242">
        <f>SUM(D128+E128-F128)</f>
        <v>100400</v>
      </c>
      <c r="H128" s="678">
        <v>92000</v>
      </c>
      <c r="I128" s="243">
        <f>G128-H128</f>
        <v>8400</v>
      </c>
      <c r="J128" s="31"/>
      <c r="K128" s="31"/>
      <c r="L128" s="31"/>
    </row>
    <row r="129" spans="1:12" s="13" customFormat="1" ht="42" customHeight="1">
      <c r="A129" s="1111" t="s">
        <v>507</v>
      </c>
      <c r="B129" s="1112" t="s">
        <v>508</v>
      </c>
      <c r="C129" s="1113"/>
      <c r="D129" s="1114">
        <v>16296817</v>
      </c>
      <c r="E129" s="1114">
        <f>15574918</f>
        <v>15574918</v>
      </c>
      <c r="F129" s="1115">
        <v>0</v>
      </c>
      <c r="G129" s="1115">
        <f>SUM(D129+E129-F129)+1</f>
        <v>31871736</v>
      </c>
      <c r="H129" s="1114">
        <v>28376022</v>
      </c>
      <c r="I129" s="1116">
        <f>G129-H129</f>
        <v>3495714</v>
      </c>
      <c r="J129" s="31"/>
      <c r="K129" s="31"/>
      <c r="L129" s="31"/>
    </row>
    <row r="130" spans="1:12" s="13" customFormat="1" ht="25.5" customHeight="1">
      <c r="A130" s="25"/>
      <c r="B130" s="26">
        <v>1100</v>
      </c>
      <c r="C130" s="27"/>
      <c r="D130" s="634"/>
      <c r="E130" s="634"/>
      <c r="F130" s="244"/>
      <c r="G130" s="245"/>
      <c r="H130" s="679"/>
      <c r="I130" s="246"/>
      <c r="J130" s="31"/>
      <c r="K130" s="31"/>
      <c r="L130" s="31"/>
    </row>
    <row r="131" spans="1:12" s="13" customFormat="1" ht="25.5" customHeight="1">
      <c r="A131" s="25"/>
      <c r="B131" s="32" t="s">
        <v>509</v>
      </c>
      <c r="C131" s="232"/>
      <c r="D131" s="688">
        <f>D133+D135</f>
        <v>44028549</v>
      </c>
      <c r="E131" s="688">
        <f>E133+E135</f>
        <v>14064704</v>
      </c>
      <c r="F131" s="259">
        <f>F133+F135</f>
        <v>0</v>
      </c>
      <c r="G131" s="258">
        <f>SUM(D131+E131-F131)</f>
        <v>58093253</v>
      </c>
      <c r="H131" s="688">
        <f>H133+H130</f>
        <v>31654322</v>
      </c>
      <c r="I131" s="260">
        <f>G131-H131</f>
        <v>26438931</v>
      </c>
      <c r="J131" s="31"/>
      <c r="K131" s="31"/>
      <c r="L131" s="31"/>
    </row>
    <row r="132" spans="1:12" s="13" customFormat="1" ht="25.5" customHeight="1">
      <c r="A132" s="34"/>
      <c r="B132" s="27"/>
      <c r="C132" s="26">
        <v>1110</v>
      </c>
      <c r="D132" s="634"/>
      <c r="E132" s="634"/>
      <c r="F132" s="244"/>
      <c r="G132" s="245"/>
      <c r="H132" s="679"/>
      <c r="I132" s="246"/>
      <c r="J132" s="31"/>
      <c r="K132" s="31"/>
      <c r="L132" s="31"/>
    </row>
    <row r="133" spans="1:12" s="13" customFormat="1" ht="25.5" customHeight="1">
      <c r="A133" s="34"/>
      <c r="B133" s="27"/>
      <c r="C133" s="24" t="s">
        <v>510</v>
      </c>
      <c r="D133" s="681">
        <v>38811376</v>
      </c>
      <c r="E133" s="681">
        <v>12482574</v>
      </c>
      <c r="F133" s="251">
        <v>0</v>
      </c>
      <c r="G133" s="242">
        <f>SUM(D133+E133-F133)</f>
        <v>51293950</v>
      </c>
      <c r="H133" s="678">
        <v>31654322</v>
      </c>
      <c r="I133" s="243">
        <f>G133-H133</f>
        <v>19639628</v>
      </c>
      <c r="J133" s="31"/>
      <c r="K133" s="31"/>
      <c r="L133" s="31"/>
    </row>
    <row r="134" spans="1:12" s="13" customFormat="1" ht="25.5" customHeight="1">
      <c r="A134" s="34"/>
      <c r="B134" s="27"/>
      <c r="C134" s="27">
        <v>1120</v>
      </c>
      <c r="D134" s="634"/>
      <c r="E134" s="634"/>
      <c r="F134" s="244"/>
      <c r="G134" s="245" t="s">
        <v>511</v>
      </c>
      <c r="H134" s="679" t="s">
        <v>76</v>
      </c>
      <c r="I134" s="249" t="s">
        <v>511</v>
      </c>
      <c r="J134" s="31"/>
      <c r="K134" s="31"/>
      <c r="L134" s="31"/>
    </row>
    <row r="135" spans="1:12" s="13" customFormat="1" ht="25.5" customHeight="1">
      <c r="A135" s="34"/>
      <c r="B135" s="24"/>
      <c r="C135" s="33" t="s">
        <v>512</v>
      </c>
      <c r="D135" s="681">
        <v>5217173</v>
      </c>
      <c r="E135" s="681">
        <v>1582130</v>
      </c>
      <c r="F135" s="251"/>
      <c r="G135" s="242">
        <f>SUM(D135+E135-F135)</f>
        <v>6799303</v>
      </c>
      <c r="H135" s="678">
        <v>0</v>
      </c>
      <c r="I135" s="243">
        <f>G135-H135</f>
        <v>6799303</v>
      </c>
      <c r="J135" s="31"/>
      <c r="K135" s="31"/>
      <c r="L135" s="31"/>
    </row>
    <row r="136" spans="1:12" s="13" customFormat="1" ht="25.5" customHeight="1">
      <c r="A136" s="34"/>
      <c r="B136" s="27">
        <v>2100</v>
      </c>
      <c r="C136" s="27"/>
      <c r="D136" s="634"/>
      <c r="E136" s="634"/>
      <c r="F136" s="244"/>
      <c r="G136" s="245"/>
      <c r="H136" s="679"/>
      <c r="I136" s="246"/>
      <c r="J136" s="31"/>
      <c r="K136" s="31"/>
      <c r="L136" s="31"/>
    </row>
    <row r="137" spans="1:12" s="13" customFormat="1" ht="25.5" customHeight="1">
      <c r="A137" s="34"/>
      <c r="B137" s="32" t="s">
        <v>513</v>
      </c>
      <c r="C137" s="27"/>
      <c r="D137" s="679">
        <f>D139+D141+D143</f>
        <v>20292815</v>
      </c>
      <c r="E137" s="679">
        <f>E139+E141+E143</f>
        <v>489457</v>
      </c>
      <c r="F137" s="679">
        <f>F139+F141+F143</f>
        <v>0</v>
      </c>
      <c r="G137" s="242">
        <f>SUM(D137+E137-F137)</f>
        <v>20782272</v>
      </c>
      <c r="H137" s="679">
        <f>H139+H141</f>
        <v>0</v>
      </c>
      <c r="I137" s="243">
        <f>G137-H137</f>
        <v>20782272</v>
      </c>
      <c r="J137" s="31"/>
      <c r="K137" s="31"/>
      <c r="L137" s="31"/>
    </row>
    <row r="138" spans="1:12" s="13" customFormat="1" ht="25.5" customHeight="1">
      <c r="A138" s="34"/>
      <c r="B138" s="27"/>
      <c r="C138" s="28">
        <v>2120</v>
      </c>
      <c r="D138" s="680"/>
      <c r="E138" s="680"/>
      <c r="F138" s="247"/>
      <c r="G138" s="248"/>
      <c r="H138" s="892"/>
      <c r="I138" s="249"/>
      <c r="J138" s="31"/>
      <c r="K138" s="31"/>
      <c r="L138" s="31"/>
    </row>
    <row r="139" spans="1:12" s="13" customFormat="1" ht="25.5" customHeight="1">
      <c r="A139" s="34"/>
      <c r="B139" s="24"/>
      <c r="C139" s="24" t="s">
        <v>514</v>
      </c>
      <c r="D139" s="681">
        <v>2211468</v>
      </c>
      <c r="E139" s="681">
        <v>452815</v>
      </c>
      <c r="F139" s="251">
        <v>0</v>
      </c>
      <c r="G139" s="242">
        <f>SUM(D139+E139-F139)</f>
        <v>2664283</v>
      </c>
      <c r="H139" s="678">
        <v>0</v>
      </c>
      <c r="I139" s="243">
        <f>G139-H139</f>
        <v>2664283</v>
      </c>
      <c r="J139" s="31"/>
      <c r="K139" s="31"/>
      <c r="L139" s="31"/>
    </row>
    <row r="140" spans="1:12" s="13" customFormat="1" ht="25.5" customHeight="1">
      <c r="A140" s="34"/>
      <c r="B140" s="27"/>
      <c r="C140" s="27">
        <v>2130</v>
      </c>
      <c r="D140" s="634"/>
      <c r="E140" s="634"/>
      <c r="F140" s="244"/>
      <c r="G140" s="245" t="s">
        <v>511</v>
      </c>
      <c r="H140" s="679" t="s">
        <v>511</v>
      </c>
      <c r="I140" s="246"/>
      <c r="J140" s="31"/>
      <c r="K140" s="31"/>
      <c r="L140" s="31"/>
    </row>
    <row r="141" spans="1:12" s="13" customFormat="1" ht="25.5" customHeight="1">
      <c r="A141" s="25"/>
      <c r="B141" s="24"/>
      <c r="C141" s="24" t="s">
        <v>515</v>
      </c>
      <c r="D141" s="681">
        <v>17324094</v>
      </c>
      <c r="E141" s="681">
        <v>0</v>
      </c>
      <c r="F141" s="251">
        <v>0</v>
      </c>
      <c r="G141" s="242">
        <f>SUM(D141+E141-F141)</f>
        <v>17324094</v>
      </c>
      <c r="H141" s="678">
        <v>0</v>
      </c>
      <c r="I141" s="243">
        <f>G141-H141</f>
        <v>17324094</v>
      </c>
      <c r="J141" s="31"/>
      <c r="K141" s="31"/>
      <c r="L141" s="31"/>
    </row>
    <row r="142" spans="1:12" s="13" customFormat="1" ht="25.5" customHeight="1">
      <c r="A142" s="34"/>
      <c r="B142" s="27"/>
      <c r="C142" s="27">
        <v>2140</v>
      </c>
      <c r="D142" s="634"/>
      <c r="E142" s="634"/>
      <c r="F142" s="244"/>
      <c r="G142" s="245" t="s">
        <v>511</v>
      </c>
      <c r="H142" s="679" t="s">
        <v>511</v>
      </c>
      <c r="I142" s="246"/>
      <c r="J142" s="31"/>
      <c r="K142" s="31"/>
      <c r="L142" s="31"/>
    </row>
    <row r="143" spans="1:12" s="13" customFormat="1" ht="25.5" customHeight="1">
      <c r="A143" s="109"/>
      <c r="B143" s="30"/>
      <c r="C143" s="124" t="s">
        <v>516</v>
      </c>
      <c r="D143" s="632">
        <v>757253</v>
      </c>
      <c r="E143" s="632">
        <v>36642</v>
      </c>
      <c r="F143" s="252">
        <v>0</v>
      </c>
      <c r="G143" s="223">
        <f>SUM(D143+E143-F143)</f>
        <v>793895</v>
      </c>
      <c r="H143" s="685">
        <v>0</v>
      </c>
      <c r="I143" s="253">
        <f>G143-H143</f>
        <v>793895</v>
      </c>
      <c r="J143" s="31"/>
      <c r="K143" s="31"/>
      <c r="L143" s="31"/>
    </row>
    <row r="144" spans="1:12" ht="30" customHeight="1">
      <c r="A144" s="8"/>
      <c r="B144" s="8"/>
      <c r="C144" s="8"/>
      <c r="D144" s="689"/>
      <c r="E144" s="689"/>
      <c r="F144" s="187"/>
      <c r="G144" s="224"/>
      <c r="H144" s="736"/>
      <c r="I144" s="9"/>
      <c r="J144" s="7"/>
      <c r="K144" s="7"/>
      <c r="L144" s="7"/>
    </row>
    <row r="145" spans="1:12" ht="30" customHeight="1">
      <c r="A145" s="10"/>
      <c r="B145" s="10"/>
      <c r="C145" s="10"/>
      <c r="D145" s="690">
        <f>D131-D137</f>
        <v>23735734</v>
      </c>
      <c r="E145" s="690">
        <f>E131-E137</f>
        <v>13575247</v>
      </c>
      <c r="F145" s="188"/>
      <c r="G145" s="225"/>
      <c r="H145" s="737"/>
      <c r="I145" s="11"/>
      <c r="J145" s="7"/>
      <c r="K145" s="7"/>
      <c r="L145" s="7"/>
    </row>
    <row r="146" spans="1:12" ht="30" customHeight="1">
      <c r="A146" s="10"/>
      <c r="B146" s="10"/>
      <c r="C146" s="10"/>
      <c r="D146" s="690"/>
      <c r="E146" s="690"/>
      <c r="F146" s="188"/>
      <c r="G146" s="225"/>
      <c r="H146" s="737"/>
      <c r="I146" s="11"/>
      <c r="J146" s="7"/>
      <c r="K146" s="7"/>
      <c r="L146" s="7"/>
    </row>
    <row r="147" spans="1:12" ht="20.25" customHeight="1">
      <c r="A147" s="10"/>
      <c r="B147" s="10"/>
      <c r="C147" s="10"/>
      <c r="D147" s="690"/>
      <c r="E147" s="690"/>
      <c r="F147" s="188"/>
      <c r="G147" s="225"/>
      <c r="H147" s="737"/>
      <c r="I147" s="11"/>
      <c r="J147" s="7"/>
      <c r="K147" s="7"/>
      <c r="L147" s="7"/>
    </row>
    <row r="148" spans="1:12" ht="20.25" customHeight="1">
      <c r="A148" s="10"/>
      <c r="B148" s="10"/>
      <c r="C148" s="10"/>
      <c r="D148" s="690"/>
      <c r="E148" s="690"/>
      <c r="F148" s="188"/>
      <c r="G148" s="225"/>
      <c r="H148" s="737"/>
      <c r="I148" s="11"/>
      <c r="J148" s="7"/>
      <c r="K148" s="7"/>
      <c r="L148" s="7"/>
    </row>
    <row r="149" spans="1:12" ht="20.25" customHeight="1">
      <c r="A149" s="10"/>
      <c r="B149" s="10"/>
      <c r="C149" s="10"/>
      <c r="D149" s="690"/>
      <c r="E149" s="690"/>
      <c r="F149" s="188"/>
      <c r="G149" s="225"/>
      <c r="H149" s="737"/>
      <c r="I149" s="11"/>
      <c r="J149" s="7"/>
      <c r="K149" s="7"/>
      <c r="L149" s="7"/>
    </row>
    <row r="150" spans="1:12" ht="20.25" customHeight="1">
      <c r="A150" s="10"/>
      <c r="B150" s="10"/>
      <c r="C150" s="10"/>
      <c r="D150" s="690"/>
      <c r="E150" s="690"/>
      <c r="F150" s="188"/>
      <c r="G150" s="225"/>
      <c r="H150" s="737"/>
      <c r="I150" s="11"/>
      <c r="J150" s="7"/>
      <c r="K150" s="7"/>
      <c r="L150" s="7"/>
    </row>
    <row r="151" spans="1:12" ht="20.25" customHeight="1">
      <c r="A151" s="10"/>
      <c r="B151" s="10"/>
      <c r="C151" s="10"/>
      <c r="D151" s="690"/>
      <c r="E151" s="690"/>
      <c r="F151" s="188"/>
      <c r="G151" s="225"/>
      <c r="H151" s="738"/>
      <c r="I151" s="11"/>
      <c r="J151" s="7"/>
      <c r="K151" s="7"/>
      <c r="L151" s="7"/>
    </row>
    <row r="152" spans="1:12" ht="20.25" customHeight="1">
      <c r="A152" s="10"/>
      <c r="B152" s="10"/>
      <c r="C152" s="10"/>
      <c r="D152" s="690"/>
      <c r="E152" s="690"/>
      <c r="F152" s="188"/>
      <c r="G152" s="225"/>
      <c r="H152" s="738"/>
      <c r="I152" s="11"/>
      <c r="J152" s="7"/>
      <c r="K152" s="7"/>
      <c r="L152" s="7"/>
    </row>
    <row r="153" spans="1:12" ht="20.25" customHeight="1">
      <c r="A153" s="10"/>
      <c r="B153" s="10"/>
      <c r="C153" s="10"/>
      <c r="D153" s="690"/>
      <c r="E153" s="690"/>
      <c r="F153" s="188"/>
      <c r="G153" s="225"/>
      <c r="H153" s="738"/>
      <c r="I153" s="11"/>
      <c r="J153" s="7"/>
      <c r="K153" s="7"/>
      <c r="L153" s="7"/>
    </row>
    <row r="154" spans="1:12" ht="20.25" customHeight="1">
      <c r="A154" s="10"/>
      <c r="B154" s="10"/>
      <c r="C154" s="10"/>
      <c r="D154" s="690"/>
      <c r="E154" s="690"/>
      <c r="F154" s="188"/>
      <c r="G154" s="225"/>
      <c r="H154" s="738"/>
      <c r="I154" s="11"/>
      <c r="J154" s="7"/>
      <c r="K154" s="7"/>
      <c r="L154" s="7"/>
    </row>
    <row r="155" spans="1:12" ht="20.25" customHeight="1">
      <c r="A155" s="10"/>
      <c r="B155" s="10"/>
      <c r="C155" s="10"/>
      <c r="D155" s="690"/>
      <c r="E155" s="690"/>
      <c r="F155" s="188"/>
      <c r="G155" s="225"/>
      <c r="H155" s="738"/>
      <c r="I155" s="11"/>
      <c r="J155" s="7"/>
      <c r="K155" s="7"/>
      <c r="L155" s="7"/>
    </row>
    <row r="156" spans="1:12" ht="20.25" customHeight="1">
      <c r="A156" s="10"/>
      <c r="B156" s="10"/>
      <c r="C156" s="10"/>
      <c r="D156" s="690"/>
      <c r="E156" s="690"/>
      <c r="F156" s="188"/>
      <c r="G156" s="225"/>
      <c r="H156" s="738"/>
      <c r="I156" s="11"/>
      <c r="J156" s="7"/>
      <c r="K156" s="7"/>
      <c r="L156" s="7"/>
    </row>
    <row r="157" spans="1:12" ht="20.25" customHeight="1">
      <c r="A157" s="10"/>
      <c r="B157" s="10"/>
      <c r="C157" s="10"/>
      <c r="D157" s="690"/>
      <c r="E157" s="690"/>
      <c r="F157" s="188"/>
      <c r="G157" s="225"/>
      <c r="H157" s="738"/>
      <c r="I157" s="11"/>
      <c r="J157" s="7"/>
      <c r="K157" s="7"/>
      <c r="L157" s="7"/>
    </row>
    <row r="158" spans="1:12" ht="20.25" customHeight="1">
      <c r="A158" s="10"/>
      <c r="B158" s="10"/>
      <c r="C158" s="10"/>
      <c r="D158" s="690"/>
      <c r="E158" s="690"/>
      <c r="F158" s="188"/>
      <c r="G158" s="225"/>
      <c r="H158" s="738"/>
      <c r="I158" s="11"/>
      <c r="J158" s="7"/>
      <c r="K158" s="7"/>
      <c r="L158" s="7"/>
    </row>
    <row r="159" spans="1:12" ht="20.25" customHeight="1">
      <c r="A159" s="10"/>
      <c r="B159" s="10"/>
      <c r="C159" s="10"/>
      <c r="D159" s="690"/>
      <c r="E159" s="690"/>
      <c r="F159" s="188"/>
      <c r="G159" s="225"/>
      <c r="H159" s="738"/>
      <c r="I159" s="11"/>
      <c r="J159" s="7"/>
      <c r="K159" s="7"/>
      <c r="L159" s="7"/>
    </row>
    <row r="160" spans="1:12" ht="20.25" customHeight="1">
      <c r="A160" s="10"/>
      <c r="B160" s="10"/>
      <c r="C160" s="10"/>
      <c r="D160" s="690"/>
      <c r="E160" s="690"/>
      <c r="F160" s="188"/>
      <c r="G160" s="225"/>
      <c r="H160" s="738"/>
      <c r="I160" s="11"/>
      <c r="J160" s="7"/>
      <c r="K160" s="7"/>
      <c r="L160" s="7"/>
    </row>
    <row r="161" spans="1:12" ht="20.25" customHeight="1">
      <c r="A161" s="10"/>
      <c r="B161" s="10"/>
      <c r="C161" s="10"/>
      <c r="D161" s="690"/>
      <c r="E161" s="690"/>
      <c r="F161" s="188"/>
      <c r="G161" s="225"/>
      <c r="H161" s="738"/>
      <c r="I161" s="11"/>
      <c r="J161" s="7"/>
      <c r="K161" s="7"/>
      <c r="L161" s="7"/>
    </row>
    <row r="162" spans="1:12" ht="20.25" customHeight="1">
      <c r="A162" s="10"/>
      <c r="B162" s="10"/>
      <c r="C162" s="10"/>
      <c r="D162" s="690"/>
      <c r="E162" s="690"/>
      <c r="F162" s="188"/>
      <c r="G162" s="225"/>
      <c r="H162" s="738"/>
      <c r="I162" s="11"/>
      <c r="J162" s="7"/>
      <c r="K162" s="7"/>
      <c r="L162" s="7"/>
    </row>
    <row r="163" spans="1:12" ht="20.25" customHeight="1">
      <c r="A163" s="10"/>
      <c r="B163" s="10"/>
      <c r="C163" s="10"/>
      <c r="D163" s="690"/>
      <c r="E163" s="690"/>
      <c r="F163" s="188"/>
      <c r="G163" s="225"/>
      <c r="H163" s="738"/>
      <c r="I163" s="11"/>
      <c r="J163" s="7"/>
      <c r="K163" s="7"/>
      <c r="L163" s="7"/>
    </row>
    <row r="164" spans="1:12" ht="20.25" customHeight="1">
      <c r="A164" s="10"/>
      <c r="B164" s="10"/>
      <c r="C164" s="10"/>
      <c r="D164" s="690"/>
      <c r="E164" s="690"/>
      <c r="F164" s="188"/>
      <c r="G164" s="225"/>
      <c r="H164" s="738"/>
      <c r="I164" s="11"/>
      <c r="J164" s="7"/>
      <c r="K164" s="7"/>
      <c r="L164" s="7"/>
    </row>
    <row r="165" spans="1:12" ht="20.25" customHeight="1">
      <c r="A165" s="10"/>
      <c r="B165" s="10"/>
      <c r="C165" s="10"/>
      <c r="D165" s="690"/>
      <c r="E165" s="690"/>
      <c r="F165" s="188"/>
      <c r="G165" s="225"/>
      <c r="H165" s="738"/>
      <c r="I165" s="11"/>
      <c r="J165" s="7"/>
      <c r="K165" s="7"/>
      <c r="L165" s="7"/>
    </row>
    <row r="166" spans="1:12" ht="20.25" customHeight="1">
      <c r="A166" s="10"/>
      <c r="B166" s="10"/>
      <c r="C166" s="10"/>
      <c r="D166" s="690"/>
      <c r="E166" s="690"/>
      <c r="F166" s="188"/>
      <c r="G166" s="225"/>
      <c r="H166" s="738"/>
      <c r="I166" s="11"/>
      <c r="J166" s="7"/>
      <c r="K166" s="7"/>
      <c r="L166" s="7"/>
    </row>
    <row r="167" spans="1:12" ht="20.25" customHeight="1">
      <c r="A167" s="10"/>
      <c r="B167" s="10"/>
      <c r="C167" s="10"/>
      <c r="D167" s="690"/>
      <c r="E167" s="690"/>
      <c r="F167" s="188"/>
      <c r="G167" s="225"/>
      <c r="H167" s="738"/>
      <c r="I167" s="11"/>
      <c r="J167" s="7"/>
      <c r="K167" s="7"/>
      <c r="L167" s="7"/>
    </row>
    <row r="168" spans="1:12" ht="20.25" customHeight="1">
      <c r="A168" s="10"/>
      <c r="B168" s="10"/>
      <c r="C168" s="10"/>
      <c r="D168" s="690"/>
      <c r="E168" s="690"/>
      <c r="F168" s="188"/>
      <c r="G168" s="225"/>
      <c r="H168" s="738"/>
      <c r="I168" s="11"/>
      <c r="J168" s="7"/>
      <c r="K168" s="7"/>
      <c r="L168" s="7"/>
    </row>
    <row r="169" spans="1:12" ht="20.25" customHeight="1">
      <c r="A169" s="12"/>
      <c r="B169" s="12"/>
      <c r="C169" s="12"/>
      <c r="D169" s="691"/>
      <c r="E169" s="691"/>
      <c r="F169" s="189"/>
      <c r="G169" s="226"/>
      <c r="H169" s="739"/>
      <c r="I169" s="7"/>
      <c r="J169" s="7"/>
      <c r="K169" s="7"/>
      <c r="L169" s="7"/>
    </row>
    <row r="170" spans="1:12" ht="20.25" customHeight="1">
      <c r="A170" s="12"/>
      <c r="B170" s="12"/>
      <c r="C170" s="12"/>
      <c r="D170" s="691"/>
      <c r="E170" s="691"/>
      <c r="F170" s="189"/>
      <c r="G170" s="226"/>
      <c r="H170" s="739"/>
      <c r="I170" s="7"/>
      <c r="J170" s="7"/>
      <c r="K170" s="7"/>
      <c r="L170" s="7"/>
    </row>
    <row r="171" spans="1:9" ht="20.25" customHeight="1">
      <c r="A171" s="12"/>
      <c r="B171" s="12"/>
      <c r="C171" s="12"/>
      <c r="D171" s="691"/>
      <c r="E171" s="691"/>
      <c r="F171" s="189"/>
      <c r="G171" s="226"/>
      <c r="H171" s="739"/>
      <c r="I171" s="7"/>
    </row>
    <row r="172" spans="1:9" ht="20.25" customHeight="1">
      <c r="A172" s="12"/>
      <c r="B172" s="12"/>
      <c r="C172" s="12"/>
      <c r="D172" s="691"/>
      <c r="E172" s="691"/>
      <c r="F172" s="189"/>
      <c r="G172" s="226"/>
      <c r="H172" s="739"/>
      <c r="I172" s="7"/>
    </row>
    <row r="173" spans="1:9" ht="20.25" customHeight="1">
      <c r="A173" s="12"/>
      <c r="B173" s="12"/>
      <c r="C173" s="12"/>
      <c r="D173" s="691"/>
      <c r="E173" s="691"/>
      <c r="F173" s="189"/>
      <c r="G173" s="226"/>
      <c r="H173" s="739"/>
      <c r="I173" s="7"/>
    </row>
    <row r="174" spans="1:9" ht="20.25" customHeight="1">
      <c r="A174" s="12"/>
      <c r="B174" s="12"/>
      <c r="C174" s="12"/>
      <c r="D174" s="691"/>
      <c r="E174" s="691"/>
      <c r="F174" s="189"/>
      <c r="G174" s="226"/>
      <c r="H174" s="739"/>
      <c r="I174" s="7"/>
    </row>
    <row r="175" spans="1:9" ht="20.25" customHeight="1">
      <c r="A175" s="12"/>
      <c r="B175" s="12"/>
      <c r="C175" s="12"/>
      <c r="D175" s="691"/>
      <c r="E175" s="691"/>
      <c r="F175" s="189"/>
      <c r="G175" s="226"/>
      <c r="H175" s="739"/>
      <c r="I175" s="7"/>
    </row>
    <row r="176" spans="1:9" ht="20.25" customHeight="1">
      <c r="A176" s="12"/>
      <c r="B176" s="12"/>
      <c r="C176" s="12"/>
      <c r="D176" s="691"/>
      <c r="E176" s="691"/>
      <c r="F176" s="189"/>
      <c r="G176" s="226"/>
      <c r="H176" s="739"/>
      <c r="I176" s="7"/>
    </row>
    <row r="177" spans="1:9" ht="20.25" customHeight="1">
      <c r="A177" s="12"/>
      <c r="B177" s="12"/>
      <c r="C177" s="12"/>
      <c r="D177" s="691"/>
      <c r="E177" s="691"/>
      <c r="F177" s="189"/>
      <c r="G177" s="226"/>
      <c r="H177" s="739"/>
      <c r="I177" s="7"/>
    </row>
    <row r="178" spans="1:9" ht="20.25" customHeight="1">
      <c r="A178" s="12"/>
      <c r="B178" s="12"/>
      <c r="C178" s="12"/>
      <c r="D178" s="691"/>
      <c r="E178" s="691"/>
      <c r="F178" s="189"/>
      <c r="G178" s="226"/>
      <c r="H178" s="739"/>
      <c r="I178" s="7"/>
    </row>
    <row r="179" spans="1:9" ht="20.25" customHeight="1">
      <c r="A179" s="12"/>
      <c r="B179" s="12"/>
      <c r="C179" s="12"/>
      <c r="D179" s="691"/>
      <c r="E179" s="691"/>
      <c r="F179" s="189"/>
      <c r="G179" s="226"/>
      <c r="H179" s="739"/>
      <c r="I179" s="7"/>
    </row>
    <row r="180" spans="1:9" ht="20.25" customHeight="1">
      <c r="A180" s="12"/>
      <c r="B180" s="12"/>
      <c r="C180" s="12"/>
      <c r="D180" s="691"/>
      <c r="E180" s="691"/>
      <c r="F180" s="189"/>
      <c r="G180" s="226"/>
      <c r="H180" s="739"/>
      <c r="I180" s="7"/>
    </row>
    <row r="181" spans="1:9" ht="20.25" customHeight="1">
      <c r="A181" s="12"/>
      <c r="B181" s="12"/>
      <c r="C181" s="12"/>
      <c r="D181" s="691"/>
      <c r="E181" s="691"/>
      <c r="F181" s="189"/>
      <c r="G181" s="226"/>
      <c r="H181" s="739"/>
      <c r="I181" s="7"/>
    </row>
    <row r="182" spans="1:9" ht="20.25" customHeight="1">
      <c r="A182" s="12"/>
      <c r="B182" s="12"/>
      <c r="C182" s="12"/>
      <c r="D182" s="691"/>
      <c r="E182" s="691"/>
      <c r="F182" s="189"/>
      <c r="G182" s="226"/>
      <c r="H182" s="739"/>
      <c r="I182" s="7"/>
    </row>
    <row r="183" spans="1:9" ht="20.25" customHeight="1">
      <c r="A183" s="12"/>
      <c r="B183" s="12"/>
      <c r="C183" s="12"/>
      <c r="D183" s="691"/>
      <c r="E183" s="691"/>
      <c r="F183" s="189"/>
      <c r="G183" s="226"/>
      <c r="H183" s="739"/>
      <c r="I183" s="7"/>
    </row>
    <row r="184" spans="1:9" ht="20.25" customHeight="1">
      <c r="A184" s="12"/>
      <c r="B184" s="12"/>
      <c r="C184" s="12"/>
      <c r="D184" s="691"/>
      <c r="E184" s="691"/>
      <c r="F184" s="189"/>
      <c r="G184" s="226"/>
      <c r="H184" s="739"/>
      <c r="I184" s="7"/>
    </row>
    <row r="185" spans="1:9" ht="20.25" customHeight="1">
      <c r="A185" s="12"/>
      <c r="B185" s="12"/>
      <c r="C185" s="12"/>
      <c r="D185" s="691"/>
      <c r="E185" s="691"/>
      <c r="F185" s="189"/>
      <c r="G185" s="226"/>
      <c r="H185" s="739"/>
      <c r="I185" s="7"/>
    </row>
    <row r="186" spans="1:9" ht="20.25" customHeight="1">
      <c r="A186" s="12"/>
      <c r="B186" s="12"/>
      <c r="C186" s="12"/>
      <c r="D186" s="691"/>
      <c r="E186" s="691"/>
      <c r="F186" s="189"/>
      <c r="G186" s="226"/>
      <c r="H186" s="739"/>
      <c r="I186" s="7"/>
    </row>
    <row r="187" spans="1:9" ht="20.25" customHeight="1">
      <c r="A187" s="12"/>
      <c r="B187" s="12"/>
      <c r="C187" s="12"/>
      <c r="D187" s="691"/>
      <c r="E187" s="691"/>
      <c r="F187" s="189"/>
      <c r="G187" s="226"/>
      <c r="H187" s="739"/>
      <c r="I187" s="7"/>
    </row>
    <row r="188" spans="1:9" ht="20.25" customHeight="1">
      <c r="A188" s="12"/>
      <c r="B188" s="12"/>
      <c r="C188" s="12"/>
      <c r="D188" s="691"/>
      <c r="E188" s="691"/>
      <c r="F188" s="189"/>
      <c r="G188" s="226"/>
      <c r="H188" s="739"/>
      <c r="I188" s="7"/>
    </row>
    <row r="189" spans="1:9" ht="20.25" customHeight="1">
      <c r="A189" s="12"/>
      <c r="B189" s="12"/>
      <c r="C189" s="12"/>
      <c r="D189" s="691"/>
      <c r="E189" s="691"/>
      <c r="F189" s="189"/>
      <c r="G189" s="226"/>
      <c r="H189" s="739"/>
      <c r="I189" s="7"/>
    </row>
    <row r="190" spans="1:9" ht="20.25" customHeight="1">
      <c r="A190" s="12"/>
      <c r="B190" s="12"/>
      <c r="C190" s="12"/>
      <c r="D190" s="691"/>
      <c r="E190" s="691"/>
      <c r="F190" s="189"/>
      <c r="G190" s="226"/>
      <c r="H190" s="739"/>
      <c r="I190" s="7"/>
    </row>
    <row r="191" spans="1:9" ht="20.25" customHeight="1">
      <c r="A191" s="12"/>
      <c r="B191" s="12"/>
      <c r="C191" s="12"/>
      <c r="D191" s="691"/>
      <c r="E191" s="691"/>
      <c r="F191" s="189"/>
      <c r="G191" s="226"/>
      <c r="H191" s="739"/>
      <c r="I191" s="7"/>
    </row>
    <row r="192" spans="1:9" ht="20.25" customHeight="1">
      <c r="A192" s="12"/>
      <c r="B192" s="12"/>
      <c r="C192" s="12"/>
      <c r="D192" s="691"/>
      <c r="E192" s="691"/>
      <c r="F192" s="189"/>
      <c r="G192" s="226"/>
      <c r="H192" s="739"/>
      <c r="I192" s="7"/>
    </row>
    <row r="193" spans="1:9" ht="20.25" customHeight="1">
      <c r="A193" s="12"/>
      <c r="B193" s="12"/>
      <c r="C193" s="12"/>
      <c r="D193" s="691"/>
      <c r="E193" s="691"/>
      <c r="F193" s="189"/>
      <c r="G193" s="226"/>
      <c r="H193" s="739"/>
      <c r="I193" s="7"/>
    </row>
    <row r="194" spans="1:9" ht="20.25" customHeight="1">
      <c r="A194" s="12"/>
      <c r="B194" s="12"/>
      <c r="C194" s="12"/>
      <c r="D194" s="691"/>
      <c r="E194" s="691"/>
      <c r="F194" s="189"/>
      <c r="G194" s="226"/>
      <c r="H194" s="739"/>
      <c r="I194" s="7"/>
    </row>
    <row r="195" spans="1:9" ht="20.25" customHeight="1">
      <c r="A195" s="12"/>
      <c r="B195" s="12"/>
      <c r="C195" s="12"/>
      <c r="D195" s="691"/>
      <c r="E195" s="691"/>
      <c r="F195" s="189"/>
      <c r="G195" s="226"/>
      <c r="H195" s="739"/>
      <c r="I195" s="7"/>
    </row>
    <row r="196" spans="1:9" ht="20.25" customHeight="1">
      <c r="A196" s="12"/>
      <c r="B196" s="12"/>
      <c r="C196" s="12"/>
      <c r="D196" s="691"/>
      <c r="E196" s="691"/>
      <c r="F196" s="189"/>
      <c r="G196" s="226"/>
      <c r="H196" s="739"/>
      <c r="I196" s="7"/>
    </row>
    <row r="197" spans="1:9" ht="20.25" customHeight="1">
      <c r="A197" s="12"/>
      <c r="B197" s="12"/>
      <c r="C197" s="12"/>
      <c r="D197" s="691"/>
      <c r="E197" s="691"/>
      <c r="F197" s="189"/>
      <c r="G197" s="226"/>
      <c r="H197" s="739"/>
      <c r="I197" s="7"/>
    </row>
    <row r="198" spans="1:9" ht="20.25" customHeight="1">
      <c r="A198" s="12"/>
      <c r="B198" s="12"/>
      <c r="C198" s="12"/>
      <c r="D198" s="691"/>
      <c r="E198" s="691"/>
      <c r="F198" s="189"/>
      <c r="G198" s="226"/>
      <c r="H198" s="739"/>
      <c r="I198" s="7"/>
    </row>
    <row r="199" spans="1:9" ht="20.25" customHeight="1">
      <c r="A199" s="12"/>
      <c r="B199" s="12"/>
      <c r="C199" s="12"/>
      <c r="D199" s="691"/>
      <c r="E199" s="691"/>
      <c r="F199" s="189"/>
      <c r="G199" s="226"/>
      <c r="H199" s="739"/>
      <c r="I199" s="7"/>
    </row>
    <row r="200" spans="1:9" ht="20.25" customHeight="1">
      <c r="A200" s="12"/>
      <c r="B200" s="12"/>
      <c r="C200" s="12"/>
      <c r="D200" s="691"/>
      <c r="E200" s="691"/>
      <c r="F200" s="189"/>
      <c r="G200" s="226"/>
      <c r="H200" s="739"/>
      <c r="I200" s="7"/>
    </row>
    <row r="201" spans="1:9" ht="20.25" customHeight="1">
      <c r="A201" s="12"/>
      <c r="B201" s="12"/>
      <c r="C201" s="12"/>
      <c r="D201" s="691"/>
      <c r="E201" s="691"/>
      <c r="F201" s="189"/>
      <c r="G201" s="226"/>
      <c r="H201" s="739"/>
      <c r="I201" s="7"/>
    </row>
    <row r="202" spans="1:9" ht="20.25" customHeight="1">
      <c r="A202" s="12"/>
      <c r="B202" s="12"/>
      <c r="C202" s="12"/>
      <c r="D202" s="691"/>
      <c r="E202" s="691"/>
      <c r="F202" s="189"/>
      <c r="G202" s="226"/>
      <c r="H202" s="739"/>
      <c r="I202" s="7"/>
    </row>
    <row r="203" spans="1:9" ht="20.25" customHeight="1">
      <c r="A203" s="12"/>
      <c r="B203" s="12"/>
      <c r="C203" s="12"/>
      <c r="D203" s="691"/>
      <c r="E203" s="691"/>
      <c r="F203" s="189"/>
      <c r="G203" s="226"/>
      <c r="H203" s="739"/>
      <c r="I203" s="7"/>
    </row>
    <row r="204" spans="1:9" ht="20.25" customHeight="1">
      <c r="A204" s="12"/>
      <c r="B204" s="12"/>
      <c r="C204" s="12"/>
      <c r="D204" s="691"/>
      <c r="E204" s="691"/>
      <c r="F204" s="189"/>
      <c r="G204" s="226"/>
      <c r="H204" s="739"/>
      <c r="I204" s="7"/>
    </row>
    <row r="205" spans="1:9" ht="20.25" customHeight="1">
      <c r="A205" s="12"/>
      <c r="B205" s="12"/>
      <c r="C205" s="12"/>
      <c r="D205" s="691"/>
      <c r="E205" s="691"/>
      <c r="F205" s="189"/>
      <c r="G205" s="226"/>
      <c r="H205" s="739"/>
      <c r="I205" s="7"/>
    </row>
    <row r="206" spans="1:9" ht="20.25" customHeight="1">
      <c r="A206" s="12"/>
      <c r="B206" s="12"/>
      <c r="C206" s="12"/>
      <c r="D206" s="691"/>
      <c r="E206" s="691"/>
      <c r="F206" s="189"/>
      <c r="G206" s="226"/>
      <c r="H206" s="739"/>
      <c r="I206" s="7"/>
    </row>
    <row r="207" spans="1:9" ht="20.25" customHeight="1">
      <c r="A207" s="12"/>
      <c r="B207" s="12"/>
      <c r="C207" s="12"/>
      <c r="D207" s="691"/>
      <c r="E207" s="691"/>
      <c r="F207" s="189"/>
      <c r="G207" s="226"/>
      <c r="H207" s="739"/>
      <c r="I207" s="7"/>
    </row>
    <row r="208" spans="1:9" ht="20.25" customHeight="1">
      <c r="A208" s="12"/>
      <c r="B208" s="12"/>
      <c r="C208" s="12"/>
      <c r="D208" s="691"/>
      <c r="E208" s="691"/>
      <c r="F208" s="189"/>
      <c r="G208" s="226"/>
      <c r="H208" s="739"/>
      <c r="I208" s="7"/>
    </row>
    <row r="209" spans="1:9" ht="20.25" customHeight="1">
      <c r="A209" s="12"/>
      <c r="B209" s="12"/>
      <c r="C209" s="12"/>
      <c r="D209" s="691"/>
      <c r="E209" s="691"/>
      <c r="F209" s="189"/>
      <c r="G209" s="226"/>
      <c r="H209" s="739"/>
      <c r="I209" s="7"/>
    </row>
    <row r="210" spans="1:9" ht="20.25" customHeight="1">
      <c r="A210" s="12"/>
      <c r="B210" s="12"/>
      <c r="C210" s="12"/>
      <c r="D210" s="691"/>
      <c r="E210" s="691"/>
      <c r="F210" s="189"/>
      <c r="G210" s="226"/>
      <c r="H210" s="739"/>
      <c r="I210" s="7"/>
    </row>
    <row r="211" spans="1:9" ht="20.25" customHeight="1">
      <c r="A211" s="12"/>
      <c r="B211" s="12"/>
      <c r="C211" s="12"/>
      <c r="D211" s="691"/>
      <c r="E211" s="691"/>
      <c r="F211" s="189"/>
      <c r="G211" s="226"/>
      <c r="H211" s="739"/>
      <c r="I211" s="7"/>
    </row>
    <row r="212" spans="1:9" ht="20.25" customHeight="1">
      <c r="A212" s="12"/>
      <c r="B212" s="12"/>
      <c r="C212" s="12"/>
      <c r="D212" s="691"/>
      <c r="E212" s="691"/>
      <c r="F212" s="189"/>
      <c r="G212" s="226"/>
      <c r="H212" s="739"/>
      <c r="I212" s="7"/>
    </row>
    <row r="213" spans="1:9" ht="20.25" customHeight="1">
      <c r="A213" s="12"/>
      <c r="B213" s="12"/>
      <c r="C213" s="12"/>
      <c r="D213" s="691"/>
      <c r="E213" s="691"/>
      <c r="F213" s="189"/>
      <c r="G213" s="226"/>
      <c r="H213" s="739"/>
      <c r="I213" s="7"/>
    </row>
    <row r="214" spans="1:9" ht="20.25" customHeight="1">
      <c r="A214" s="12"/>
      <c r="B214" s="12"/>
      <c r="C214" s="12"/>
      <c r="D214" s="691"/>
      <c r="E214" s="691"/>
      <c r="F214" s="189"/>
      <c r="G214" s="226"/>
      <c r="H214" s="739"/>
      <c r="I214" s="7"/>
    </row>
    <row r="215" spans="1:9" ht="20.25" customHeight="1">
      <c r="A215" s="12"/>
      <c r="B215" s="12"/>
      <c r="C215" s="12"/>
      <c r="D215" s="691"/>
      <c r="E215" s="691"/>
      <c r="F215" s="189"/>
      <c r="G215" s="226"/>
      <c r="H215" s="739"/>
      <c r="I215" s="7"/>
    </row>
    <row r="216" spans="1:9" ht="20.25" customHeight="1">
      <c r="A216" s="12"/>
      <c r="B216" s="12"/>
      <c r="C216" s="12"/>
      <c r="D216" s="691"/>
      <c r="E216" s="691"/>
      <c r="F216" s="189"/>
      <c r="G216" s="226"/>
      <c r="H216" s="739"/>
      <c r="I216" s="7"/>
    </row>
    <row r="217" spans="1:9" ht="20.25" customHeight="1">
      <c r="A217" s="12"/>
      <c r="B217" s="12"/>
      <c r="C217" s="12"/>
      <c r="D217" s="691"/>
      <c r="E217" s="691"/>
      <c r="F217" s="189"/>
      <c r="G217" s="226"/>
      <c r="H217" s="739"/>
      <c r="I217" s="7"/>
    </row>
    <row r="218" spans="1:9" ht="20.25" customHeight="1">
      <c r="A218" s="12"/>
      <c r="B218" s="12"/>
      <c r="C218" s="12"/>
      <c r="D218" s="691"/>
      <c r="E218" s="691"/>
      <c r="F218" s="189"/>
      <c r="G218" s="226"/>
      <c r="H218" s="739"/>
      <c r="I218" s="7"/>
    </row>
    <row r="219" spans="1:9" ht="20.25" customHeight="1">
      <c r="A219" s="12"/>
      <c r="B219" s="12"/>
      <c r="C219" s="12"/>
      <c r="D219" s="691"/>
      <c r="E219" s="691"/>
      <c r="F219" s="189"/>
      <c r="G219" s="226"/>
      <c r="H219" s="739"/>
      <c r="I219" s="7"/>
    </row>
    <row r="220" spans="1:9" ht="20.25" customHeight="1">
      <c r="A220" s="12"/>
      <c r="B220" s="12"/>
      <c r="C220" s="12"/>
      <c r="D220" s="691"/>
      <c r="E220" s="691"/>
      <c r="F220" s="189"/>
      <c r="G220" s="226"/>
      <c r="H220" s="739"/>
      <c r="I220" s="7"/>
    </row>
    <row r="221" spans="1:9" ht="20.25" customHeight="1">
      <c r="A221" s="12"/>
      <c r="B221" s="12"/>
      <c r="C221" s="12"/>
      <c r="D221" s="691"/>
      <c r="E221" s="691"/>
      <c r="F221" s="189"/>
      <c r="G221" s="226"/>
      <c r="H221" s="739"/>
      <c r="I221" s="7"/>
    </row>
    <row r="222" spans="1:9" ht="20.25" customHeight="1">
      <c r="A222" s="12"/>
      <c r="B222" s="12"/>
      <c r="C222" s="12"/>
      <c r="D222" s="691"/>
      <c r="E222" s="691"/>
      <c r="F222" s="189"/>
      <c r="G222" s="226"/>
      <c r="H222" s="739"/>
      <c r="I222" s="7"/>
    </row>
    <row r="223" spans="1:9" ht="20.25" customHeight="1">
      <c r="A223" s="12"/>
      <c r="B223" s="12"/>
      <c r="C223" s="12"/>
      <c r="D223" s="691"/>
      <c r="E223" s="691"/>
      <c r="F223" s="189"/>
      <c r="G223" s="226"/>
      <c r="H223" s="739"/>
      <c r="I223" s="7"/>
    </row>
    <row r="224" spans="1:9" ht="20.25" customHeight="1">
      <c r="A224" s="12"/>
      <c r="B224" s="12"/>
      <c r="C224" s="12"/>
      <c r="D224" s="691"/>
      <c r="E224" s="691"/>
      <c r="F224" s="189"/>
      <c r="G224" s="226"/>
      <c r="H224" s="739"/>
      <c r="I224" s="7"/>
    </row>
    <row r="225" spans="1:9" ht="20.25" customHeight="1">
      <c r="A225" s="12"/>
      <c r="B225" s="12"/>
      <c r="C225" s="12"/>
      <c r="D225" s="691"/>
      <c r="E225" s="691"/>
      <c r="F225" s="189"/>
      <c r="G225" s="226"/>
      <c r="H225" s="739"/>
      <c r="I225" s="7"/>
    </row>
    <row r="226" spans="1:9" ht="20.25" customHeight="1">
      <c r="A226" s="12"/>
      <c r="B226" s="12"/>
      <c r="C226" s="12"/>
      <c r="D226" s="691"/>
      <c r="E226" s="691"/>
      <c r="F226" s="189"/>
      <c r="G226" s="226"/>
      <c r="H226" s="739"/>
      <c r="I226" s="7"/>
    </row>
    <row r="227" spans="1:9" ht="20.25" customHeight="1">
      <c r="A227" s="12"/>
      <c r="B227" s="12"/>
      <c r="C227" s="12"/>
      <c r="D227" s="691"/>
      <c r="E227" s="691"/>
      <c r="F227" s="189"/>
      <c r="G227" s="226"/>
      <c r="H227" s="739"/>
      <c r="I227" s="7"/>
    </row>
    <row r="228" spans="1:9" ht="20.25" customHeight="1">
      <c r="A228" s="12"/>
      <c r="B228" s="12"/>
      <c r="C228" s="12"/>
      <c r="D228" s="691"/>
      <c r="E228" s="691"/>
      <c r="F228" s="189"/>
      <c r="G228" s="226"/>
      <c r="H228" s="739"/>
      <c r="I228" s="7"/>
    </row>
    <row r="229" spans="1:9" ht="20.25" customHeight="1">
      <c r="A229" s="12"/>
      <c r="B229" s="12"/>
      <c r="C229" s="12"/>
      <c r="D229" s="691"/>
      <c r="E229" s="691"/>
      <c r="F229" s="189"/>
      <c r="G229" s="226"/>
      <c r="H229" s="739"/>
      <c r="I229" s="7"/>
    </row>
    <row r="230" spans="1:9" ht="20.25" customHeight="1">
      <c r="A230" s="12"/>
      <c r="B230" s="12"/>
      <c r="C230" s="12"/>
      <c r="D230" s="691"/>
      <c r="E230" s="691"/>
      <c r="F230" s="189"/>
      <c r="G230" s="226"/>
      <c r="H230" s="739"/>
      <c r="I230" s="7"/>
    </row>
    <row r="231" spans="1:9" ht="20.25" customHeight="1">
      <c r="A231" s="12"/>
      <c r="B231" s="12"/>
      <c r="C231" s="12"/>
      <c r="D231" s="691"/>
      <c r="E231" s="691"/>
      <c r="F231" s="189"/>
      <c r="G231" s="226"/>
      <c r="H231" s="739"/>
      <c r="I231" s="7"/>
    </row>
    <row r="232" spans="1:9" ht="20.25" customHeight="1">
      <c r="A232" s="12"/>
      <c r="B232" s="12"/>
      <c r="C232" s="12"/>
      <c r="D232" s="691"/>
      <c r="E232" s="691"/>
      <c r="F232" s="189"/>
      <c r="G232" s="226"/>
      <c r="H232" s="739"/>
      <c r="I232" s="7"/>
    </row>
    <row r="233" spans="1:9" ht="20.25" customHeight="1">
      <c r="A233" s="12"/>
      <c r="B233" s="12"/>
      <c r="C233" s="12"/>
      <c r="D233" s="691"/>
      <c r="E233" s="691"/>
      <c r="F233" s="189"/>
      <c r="G233" s="226"/>
      <c r="H233" s="739"/>
      <c r="I233" s="7"/>
    </row>
    <row r="234" spans="1:9" ht="20.25" customHeight="1">
      <c r="A234" s="12"/>
      <c r="B234" s="12"/>
      <c r="C234" s="12"/>
      <c r="D234" s="691"/>
      <c r="E234" s="691"/>
      <c r="F234" s="189"/>
      <c r="G234" s="226"/>
      <c r="H234" s="739"/>
      <c r="I234" s="7"/>
    </row>
    <row r="235" spans="1:9" ht="20.25" customHeight="1">
      <c r="A235" s="12"/>
      <c r="B235" s="12"/>
      <c r="C235" s="12"/>
      <c r="D235" s="691"/>
      <c r="E235" s="691"/>
      <c r="F235" s="189"/>
      <c r="G235" s="226"/>
      <c r="H235" s="739"/>
      <c r="I235" s="7"/>
    </row>
    <row r="236" spans="1:9" ht="20.25" customHeight="1">
      <c r="A236" s="12"/>
      <c r="B236" s="12"/>
      <c r="C236" s="12"/>
      <c r="D236" s="691"/>
      <c r="E236" s="691"/>
      <c r="F236" s="189"/>
      <c r="G236" s="226"/>
      <c r="H236" s="739"/>
      <c r="I236" s="7"/>
    </row>
    <row r="237" spans="1:9" ht="20.25" customHeight="1">
      <c r="A237" s="12"/>
      <c r="B237" s="12"/>
      <c r="C237" s="12"/>
      <c r="D237" s="691"/>
      <c r="E237" s="691"/>
      <c r="F237" s="189"/>
      <c r="G237" s="226"/>
      <c r="H237" s="739"/>
      <c r="I237" s="7"/>
    </row>
    <row r="238" spans="1:9" ht="20.25" customHeight="1">
      <c r="A238" s="12"/>
      <c r="B238" s="12"/>
      <c r="C238" s="12"/>
      <c r="D238" s="691"/>
      <c r="E238" s="691"/>
      <c r="F238" s="189"/>
      <c r="G238" s="226"/>
      <c r="H238" s="739"/>
      <c r="I238" s="7"/>
    </row>
    <row r="239" spans="1:9" ht="20.25" customHeight="1">
      <c r="A239" s="12"/>
      <c r="B239" s="12"/>
      <c r="C239" s="12"/>
      <c r="D239" s="691"/>
      <c r="E239" s="691"/>
      <c r="F239" s="189"/>
      <c r="G239" s="226"/>
      <c r="H239" s="739"/>
      <c r="I239" s="7"/>
    </row>
    <row r="240" spans="1:9" ht="20.25" customHeight="1">
      <c r="A240" s="12"/>
      <c r="B240" s="12"/>
      <c r="C240" s="12"/>
      <c r="D240" s="691"/>
      <c r="E240" s="691"/>
      <c r="F240" s="189"/>
      <c r="G240" s="226"/>
      <c r="H240" s="739"/>
      <c r="I240" s="7"/>
    </row>
    <row r="241" spans="1:9" ht="20.25" customHeight="1">
      <c r="A241" s="12"/>
      <c r="B241" s="12"/>
      <c r="C241" s="12"/>
      <c r="D241" s="691"/>
      <c r="E241" s="691"/>
      <c r="F241" s="189"/>
      <c r="G241" s="226"/>
      <c r="H241" s="739"/>
      <c r="I241" s="7"/>
    </row>
    <row r="242" spans="1:9" ht="20.25" customHeight="1">
      <c r="A242" s="12"/>
      <c r="B242" s="12"/>
      <c r="C242" s="12"/>
      <c r="D242" s="691"/>
      <c r="E242" s="691"/>
      <c r="F242" s="189"/>
      <c r="G242" s="226"/>
      <c r="H242" s="739"/>
      <c r="I242" s="7"/>
    </row>
    <row r="243" spans="1:9" ht="20.25" customHeight="1">
      <c r="A243" s="12"/>
      <c r="B243" s="12"/>
      <c r="C243" s="12"/>
      <c r="D243" s="691"/>
      <c r="E243" s="691"/>
      <c r="F243" s="189"/>
      <c r="G243" s="226"/>
      <c r="H243" s="739"/>
      <c r="I243" s="7"/>
    </row>
    <row r="244" spans="1:9" ht="20.25" customHeight="1">
      <c r="A244" s="12"/>
      <c r="B244" s="12"/>
      <c r="C244" s="12"/>
      <c r="D244" s="691"/>
      <c r="E244" s="691"/>
      <c r="F244" s="189"/>
      <c r="G244" s="226"/>
      <c r="H244" s="739"/>
      <c r="I244" s="7"/>
    </row>
    <row r="245" spans="1:9" ht="20.25" customHeight="1">
      <c r="A245" s="12"/>
      <c r="B245" s="12"/>
      <c r="C245" s="12"/>
      <c r="D245" s="691"/>
      <c r="E245" s="691"/>
      <c r="F245" s="189"/>
      <c r="G245" s="226"/>
      <c r="H245" s="739"/>
      <c r="I245" s="7"/>
    </row>
    <row r="246" spans="1:9" ht="20.25" customHeight="1">
      <c r="A246" s="12"/>
      <c r="B246" s="12"/>
      <c r="C246" s="12"/>
      <c r="D246" s="691"/>
      <c r="E246" s="691"/>
      <c r="F246" s="189"/>
      <c r="G246" s="226"/>
      <c r="H246" s="739"/>
      <c r="I246" s="7"/>
    </row>
    <row r="247" spans="1:9" ht="20.25" customHeight="1">
      <c r="A247" s="12"/>
      <c r="B247" s="12"/>
      <c r="C247" s="12"/>
      <c r="D247" s="691"/>
      <c r="E247" s="691"/>
      <c r="F247" s="189"/>
      <c r="G247" s="226"/>
      <c r="H247" s="739"/>
      <c r="I247" s="7"/>
    </row>
    <row r="248" spans="1:9" ht="20.25" customHeight="1">
      <c r="A248" s="12"/>
      <c r="B248" s="12"/>
      <c r="C248" s="12"/>
      <c r="D248" s="691"/>
      <c r="E248" s="691"/>
      <c r="F248" s="189"/>
      <c r="G248" s="226"/>
      <c r="H248" s="739"/>
      <c r="I248" s="7"/>
    </row>
    <row r="249" spans="1:9" ht="20.25" customHeight="1">
      <c r="A249" s="12"/>
      <c r="B249" s="12"/>
      <c r="C249" s="12"/>
      <c r="D249" s="691"/>
      <c r="E249" s="691"/>
      <c r="F249" s="189"/>
      <c r="G249" s="226"/>
      <c r="H249" s="739"/>
      <c r="I249" s="7"/>
    </row>
    <row r="250" spans="1:9" ht="20.25" customHeight="1">
      <c r="A250" s="12"/>
      <c r="B250" s="12"/>
      <c r="C250" s="12"/>
      <c r="D250" s="691"/>
      <c r="E250" s="691"/>
      <c r="F250" s="189"/>
      <c r="G250" s="226"/>
      <c r="H250" s="739"/>
      <c r="I250" s="7"/>
    </row>
    <row r="251" spans="1:9" ht="20.25" customHeight="1">
      <c r="A251" s="12"/>
      <c r="B251" s="12"/>
      <c r="C251" s="12"/>
      <c r="D251" s="691"/>
      <c r="E251" s="691"/>
      <c r="F251" s="189"/>
      <c r="G251" s="226"/>
      <c r="H251" s="739"/>
      <c r="I251" s="7"/>
    </row>
    <row r="252" spans="1:9" ht="20.25" customHeight="1">
      <c r="A252" s="12"/>
      <c r="B252" s="12"/>
      <c r="C252" s="12"/>
      <c r="D252" s="691"/>
      <c r="E252" s="691"/>
      <c r="F252" s="189"/>
      <c r="G252" s="226"/>
      <c r="H252" s="739"/>
      <c r="I252" s="7"/>
    </row>
    <row r="253" spans="1:9" ht="20.25" customHeight="1">
      <c r="A253" s="12"/>
      <c r="B253" s="12"/>
      <c r="C253" s="12"/>
      <c r="D253" s="691"/>
      <c r="E253" s="691"/>
      <c r="F253" s="189"/>
      <c r="G253" s="226"/>
      <c r="H253" s="739"/>
      <c r="I253" s="7"/>
    </row>
    <row r="254" spans="1:9" ht="20.25" customHeight="1">
      <c r="A254" s="12"/>
      <c r="B254" s="12"/>
      <c r="C254" s="12"/>
      <c r="D254" s="691"/>
      <c r="E254" s="691"/>
      <c r="F254" s="189"/>
      <c r="G254" s="226"/>
      <c r="H254" s="739"/>
      <c r="I254" s="7"/>
    </row>
    <row r="255" spans="1:9" ht="20.25" customHeight="1">
      <c r="A255" s="12"/>
      <c r="B255" s="12"/>
      <c r="C255" s="12"/>
      <c r="D255" s="691"/>
      <c r="E255" s="691"/>
      <c r="F255" s="189"/>
      <c r="G255" s="226"/>
      <c r="H255" s="739"/>
      <c r="I255" s="7"/>
    </row>
    <row r="256" spans="1:9" ht="20.25" customHeight="1">
      <c r="A256" s="12"/>
      <c r="B256" s="12"/>
      <c r="C256" s="12"/>
      <c r="D256" s="691"/>
      <c r="E256" s="691"/>
      <c r="F256" s="189"/>
      <c r="G256" s="226"/>
      <c r="H256" s="739"/>
      <c r="I256" s="7"/>
    </row>
    <row r="257" spans="1:9" ht="20.25" customHeight="1">
      <c r="A257" s="12"/>
      <c r="B257" s="12"/>
      <c r="C257" s="12"/>
      <c r="D257" s="691"/>
      <c r="E257" s="691"/>
      <c r="F257" s="189"/>
      <c r="G257" s="226"/>
      <c r="H257" s="739"/>
      <c r="I257" s="7"/>
    </row>
    <row r="258" spans="1:9" ht="20.25" customHeight="1">
      <c r="A258" s="12"/>
      <c r="B258" s="12"/>
      <c r="C258" s="12"/>
      <c r="D258" s="691"/>
      <c r="E258" s="691"/>
      <c r="F258" s="189"/>
      <c r="G258" s="226"/>
      <c r="H258" s="739"/>
      <c r="I258" s="7"/>
    </row>
    <row r="259" spans="1:9" ht="20.25" customHeight="1">
      <c r="A259" s="12"/>
      <c r="B259" s="12"/>
      <c r="C259" s="12"/>
      <c r="D259" s="691"/>
      <c r="E259" s="691"/>
      <c r="F259" s="189"/>
      <c r="G259" s="226"/>
      <c r="H259" s="739"/>
      <c r="I259" s="7"/>
    </row>
    <row r="260" spans="1:9" ht="20.25" customHeight="1">
      <c r="A260" s="12"/>
      <c r="B260" s="12"/>
      <c r="C260" s="12"/>
      <c r="D260" s="691"/>
      <c r="E260" s="691"/>
      <c r="F260" s="189"/>
      <c r="G260" s="226"/>
      <c r="H260" s="739"/>
      <c r="I260" s="7"/>
    </row>
    <row r="261" spans="1:9" ht="20.25" customHeight="1">
      <c r="A261" s="12"/>
      <c r="B261" s="12"/>
      <c r="C261" s="12"/>
      <c r="D261" s="691"/>
      <c r="E261" s="691"/>
      <c r="F261" s="189"/>
      <c r="G261" s="226"/>
      <c r="H261" s="739"/>
      <c r="I261" s="7"/>
    </row>
    <row r="262" spans="1:9" ht="20.25" customHeight="1">
      <c r="A262" s="12"/>
      <c r="B262" s="12"/>
      <c r="C262" s="12"/>
      <c r="D262" s="691"/>
      <c r="E262" s="691"/>
      <c r="F262" s="189"/>
      <c r="G262" s="226"/>
      <c r="H262" s="739"/>
      <c r="I262" s="7"/>
    </row>
    <row r="263" spans="1:9" ht="20.25" customHeight="1">
      <c r="A263" s="12"/>
      <c r="B263" s="12"/>
      <c r="C263" s="12"/>
      <c r="D263" s="691"/>
      <c r="E263" s="691"/>
      <c r="F263" s="189"/>
      <c r="G263" s="226"/>
      <c r="H263" s="739"/>
      <c r="I263" s="7"/>
    </row>
    <row r="264" spans="1:9" ht="20.25" customHeight="1">
      <c r="A264" s="12"/>
      <c r="B264" s="12"/>
      <c r="C264" s="12"/>
      <c r="D264" s="691"/>
      <c r="E264" s="691"/>
      <c r="F264" s="189"/>
      <c r="G264" s="226"/>
      <c r="H264" s="739"/>
      <c r="I264" s="7"/>
    </row>
    <row r="265" spans="1:9" ht="20.25" customHeight="1">
      <c r="A265" s="12"/>
      <c r="B265" s="12"/>
      <c r="C265" s="12"/>
      <c r="D265" s="691"/>
      <c r="E265" s="691"/>
      <c r="F265" s="189"/>
      <c r="G265" s="226"/>
      <c r="H265" s="739"/>
      <c r="I265" s="7"/>
    </row>
    <row r="266" spans="1:9" ht="20.25" customHeight="1">
      <c r="A266" s="12"/>
      <c r="B266" s="12"/>
      <c r="C266" s="12"/>
      <c r="D266" s="691"/>
      <c r="E266" s="691"/>
      <c r="F266" s="189"/>
      <c r="G266" s="226"/>
      <c r="H266" s="739"/>
      <c r="I266" s="7"/>
    </row>
    <row r="267" spans="1:9" ht="20.25" customHeight="1">
      <c r="A267" s="12"/>
      <c r="B267" s="12"/>
      <c r="C267" s="12"/>
      <c r="D267" s="691"/>
      <c r="E267" s="691"/>
      <c r="F267" s="189"/>
      <c r="G267" s="226"/>
      <c r="H267" s="739"/>
      <c r="I267" s="7"/>
    </row>
    <row r="268" spans="1:9" ht="20.25" customHeight="1">
      <c r="A268" s="12"/>
      <c r="B268" s="12"/>
      <c r="C268" s="12"/>
      <c r="D268" s="691"/>
      <c r="E268" s="691"/>
      <c r="F268" s="189"/>
      <c r="G268" s="226"/>
      <c r="H268" s="739"/>
      <c r="I268" s="7"/>
    </row>
    <row r="269" spans="1:9" ht="20.25" customHeight="1">
      <c r="A269" s="12"/>
      <c r="B269" s="12"/>
      <c r="C269" s="12"/>
      <c r="D269" s="691"/>
      <c r="E269" s="691"/>
      <c r="F269" s="189"/>
      <c r="G269" s="226"/>
      <c r="H269" s="739"/>
      <c r="I269" s="7"/>
    </row>
    <row r="270" spans="1:9" ht="20.25" customHeight="1">
      <c r="A270" s="12"/>
      <c r="B270" s="12"/>
      <c r="C270" s="12"/>
      <c r="D270" s="691"/>
      <c r="E270" s="691"/>
      <c r="F270" s="189"/>
      <c r="G270" s="226"/>
      <c r="H270" s="739"/>
      <c r="I270" s="7"/>
    </row>
    <row r="271" spans="1:9" ht="20.25" customHeight="1">
      <c r="A271" s="12"/>
      <c r="B271" s="12"/>
      <c r="C271" s="12"/>
      <c r="D271" s="691"/>
      <c r="E271" s="691"/>
      <c r="F271" s="189"/>
      <c r="G271" s="226"/>
      <c r="H271" s="739"/>
      <c r="I271" s="7"/>
    </row>
    <row r="272" spans="1:9" ht="20.25" customHeight="1">
      <c r="A272" s="12"/>
      <c r="B272" s="12"/>
      <c r="C272" s="12"/>
      <c r="D272" s="691"/>
      <c r="E272" s="691"/>
      <c r="F272" s="189"/>
      <c r="G272" s="226"/>
      <c r="H272" s="739"/>
      <c r="I272" s="7"/>
    </row>
    <row r="273" spans="1:9" ht="20.25" customHeight="1">
      <c r="A273" s="12"/>
      <c r="B273" s="12"/>
      <c r="C273" s="12"/>
      <c r="D273" s="691"/>
      <c r="E273" s="691"/>
      <c r="F273" s="189"/>
      <c r="G273" s="226"/>
      <c r="H273" s="739"/>
      <c r="I273" s="7"/>
    </row>
    <row r="274" spans="1:9" ht="20.25" customHeight="1">
      <c r="A274" s="12"/>
      <c r="B274" s="12"/>
      <c r="C274" s="12"/>
      <c r="D274" s="691"/>
      <c r="E274" s="691"/>
      <c r="F274" s="189"/>
      <c r="G274" s="226"/>
      <c r="H274" s="739"/>
      <c r="I274" s="7"/>
    </row>
    <row r="275" spans="1:9" ht="20.25" customHeight="1">
      <c r="A275" s="12"/>
      <c r="B275" s="12"/>
      <c r="C275" s="12"/>
      <c r="D275" s="691"/>
      <c r="E275" s="691"/>
      <c r="F275" s="189"/>
      <c r="G275" s="226"/>
      <c r="H275" s="739"/>
      <c r="I275" s="7"/>
    </row>
    <row r="276" spans="1:9" ht="20.25" customHeight="1">
      <c r="A276" s="12"/>
      <c r="B276" s="12"/>
      <c r="C276" s="12"/>
      <c r="D276" s="691"/>
      <c r="E276" s="691"/>
      <c r="F276" s="189"/>
      <c r="G276" s="226"/>
      <c r="H276" s="739"/>
      <c r="I276" s="7"/>
    </row>
    <row r="277" spans="1:9" ht="20.25" customHeight="1">
      <c r="A277" s="12"/>
      <c r="B277" s="12"/>
      <c r="C277" s="12"/>
      <c r="D277" s="691"/>
      <c r="E277" s="691"/>
      <c r="F277" s="189"/>
      <c r="G277" s="226"/>
      <c r="H277" s="739"/>
      <c r="I277" s="7"/>
    </row>
    <row r="278" spans="1:9" ht="20.25" customHeight="1">
      <c r="A278" s="12"/>
      <c r="B278" s="12"/>
      <c r="C278" s="12"/>
      <c r="D278" s="691"/>
      <c r="E278" s="691"/>
      <c r="F278" s="189"/>
      <c r="G278" s="226"/>
      <c r="H278" s="739"/>
      <c r="I278" s="7"/>
    </row>
    <row r="279" spans="1:9" ht="20.25" customHeight="1">
      <c r="A279" s="12"/>
      <c r="B279" s="12"/>
      <c r="C279" s="12"/>
      <c r="D279" s="691"/>
      <c r="E279" s="691"/>
      <c r="F279" s="189"/>
      <c r="G279" s="226"/>
      <c r="H279" s="739"/>
      <c r="I279" s="7"/>
    </row>
    <row r="280" spans="1:9" ht="20.25" customHeight="1">
      <c r="A280" s="12"/>
      <c r="B280" s="12"/>
      <c r="C280" s="12"/>
      <c r="D280" s="691"/>
      <c r="E280" s="691"/>
      <c r="F280" s="189"/>
      <c r="G280" s="226"/>
      <c r="H280" s="739"/>
      <c r="I280" s="7"/>
    </row>
    <row r="281" spans="1:9" ht="20.25" customHeight="1">
      <c r="A281" s="12"/>
      <c r="B281" s="12"/>
      <c r="C281" s="12"/>
      <c r="D281" s="691"/>
      <c r="E281" s="691"/>
      <c r="F281" s="189"/>
      <c r="G281" s="226"/>
      <c r="H281" s="739"/>
      <c r="I281" s="7"/>
    </row>
    <row r="282" spans="1:9" ht="20.25" customHeight="1">
      <c r="A282" s="12"/>
      <c r="B282" s="12"/>
      <c r="C282" s="12"/>
      <c r="D282" s="691"/>
      <c r="E282" s="691"/>
      <c r="F282" s="189"/>
      <c r="G282" s="226"/>
      <c r="H282" s="739"/>
      <c r="I282" s="7"/>
    </row>
    <row r="283" spans="1:9" ht="20.25" customHeight="1">
      <c r="A283" s="12"/>
      <c r="B283" s="12"/>
      <c r="C283" s="12"/>
      <c r="D283" s="691"/>
      <c r="E283" s="691"/>
      <c r="F283" s="189"/>
      <c r="G283" s="226"/>
      <c r="H283" s="739"/>
      <c r="I283" s="7"/>
    </row>
    <row r="284" spans="1:9" ht="20.25" customHeight="1">
      <c r="A284" s="12"/>
      <c r="B284" s="12"/>
      <c r="C284" s="12"/>
      <c r="D284" s="691"/>
      <c r="E284" s="691"/>
      <c r="F284" s="189"/>
      <c r="G284" s="226"/>
      <c r="H284" s="739"/>
      <c r="I284" s="7"/>
    </row>
    <row r="285" spans="1:9" ht="20.25" customHeight="1">
      <c r="A285" s="12"/>
      <c r="B285" s="12"/>
      <c r="C285" s="12"/>
      <c r="D285" s="691"/>
      <c r="E285" s="691"/>
      <c r="F285" s="189"/>
      <c r="G285" s="226"/>
      <c r="H285" s="739"/>
      <c r="I285" s="7"/>
    </row>
    <row r="286" spans="1:9" ht="20.25" customHeight="1">
      <c r="A286" s="12"/>
      <c r="B286" s="12"/>
      <c r="C286" s="12"/>
      <c r="D286" s="691"/>
      <c r="E286" s="691"/>
      <c r="F286" s="189"/>
      <c r="G286" s="226"/>
      <c r="H286" s="739"/>
      <c r="I286" s="7"/>
    </row>
    <row r="287" spans="1:9" ht="20.25" customHeight="1">
      <c r="A287" s="12"/>
      <c r="B287" s="12"/>
      <c r="C287" s="12"/>
      <c r="D287" s="691"/>
      <c r="E287" s="691"/>
      <c r="F287" s="189"/>
      <c r="G287" s="226"/>
      <c r="H287" s="739"/>
      <c r="I287" s="7"/>
    </row>
    <row r="288" spans="1:9" ht="20.25" customHeight="1">
      <c r="A288" s="12"/>
      <c r="B288" s="12"/>
      <c r="C288" s="12"/>
      <c r="D288" s="691"/>
      <c r="E288" s="691"/>
      <c r="F288" s="189"/>
      <c r="G288" s="226"/>
      <c r="H288" s="739"/>
      <c r="I288" s="7"/>
    </row>
    <row r="289" spans="1:9" ht="20.25" customHeight="1">
      <c r="A289" s="12"/>
      <c r="B289" s="12"/>
      <c r="C289" s="12"/>
      <c r="D289" s="691"/>
      <c r="E289" s="691"/>
      <c r="F289" s="189"/>
      <c r="G289" s="226"/>
      <c r="H289" s="739"/>
      <c r="I289" s="7"/>
    </row>
    <row r="290" spans="1:9" ht="20.25" customHeight="1">
      <c r="A290" s="12"/>
      <c r="B290" s="12"/>
      <c r="C290" s="12"/>
      <c r="D290" s="691"/>
      <c r="E290" s="691"/>
      <c r="F290" s="189"/>
      <c r="G290" s="226"/>
      <c r="H290" s="739"/>
      <c r="I290" s="7"/>
    </row>
    <row r="291" spans="1:9" ht="20.25" customHeight="1">
      <c r="A291" s="12"/>
      <c r="B291" s="12"/>
      <c r="C291" s="12"/>
      <c r="D291" s="691"/>
      <c r="E291" s="691"/>
      <c r="F291" s="189"/>
      <c r="G291" s="226"/>
      <c r="H291" s="739"/>
      <c r="I291" s="7"/>
    </row>
    <row r="292" spans="1:9" ht="20.25" customHeight="1">
      <c r="A292" s="12"/>
      <c r="B292" s="12"/>
      <c r="C292" s="12"/>
      <c r="D292" s="691"/>
      <c r="E292" s="691"/>
      <c r="F292" s="189"/>
      <c r="G292" s="226"/>
      <c r="H292" s="739"/>
      <c r="I292" s="7"/>
    </row>
    <row r="293" spans="1:9" ht="20.25" customHeight="1">
      <c r="A293" s="12"/>
      <c r="B293" s="12"/>
      <c r="C293" s="12"/>
      <c r="D293" s="691"/>
      <c r="E293" s="691"/>
      <c r="F293" s="189"/>
      <c r="G293" s="226"/>
      <c r="H293" s="739"/>
      <c r="I293" s="7"/>
    </row>
    <row r="294" spans="1:9" ht="20.25" customHeight="1">
      <c r="A294" s="12"/>
      <c r="B294" s="12"/>
      <c r="C294" s="12"/>
      <c r="D294" s="691"/>
      <c r="E294" s="691"/>
      <c r="F294" s="189"/>
      <c r="G294" s="226"/>
      <c r="H294" s="739"/>
      <c r="I294" s="7"/>
    </row>
    <row r="295" spans="1:9" ht="20.25" customHeight="1">
      <c r="A295" s="12"/>
      <c r="B295" s="12"/>
      <c r="C295" s="12"/>
      <c r="D295" s="691"/>
      <c r="E295" s="691"/>
      <c r="F295" s="189"/>
      <c r="G295" s="226"/>
      <c r="H295" s="739"/>
      <c r="I295" s="7"/>
    </row>
    <row r="296" spans="1:9" ht="20.25" customHeight="1">
      <c r="A296" s="12"/>
      <c r="B296" s="12"/>
      <c r="C296" s="12"/>
      <c r="D296" s="691"/>
      <c r="E296" s="691"/>
      <c r="F296" s="189"/>
      <c r="G296" s="226"/>
      <c r="H296" s="739"/>
      <c r="I296" s="7"/>
    </row>
    <row r="297" spans="1:9" ht="20.25" customHeight="1">
      <c r="A297" s="12"/>
      <c r="B297" s="12"/>
      <c r="C297" s="12"/>
      <c r="D297" s="691"/>
      <c r="E297" s="691"/>
      <c r="F297" s="189"/>
      <c r="G297" s="226"/>
      <c r="H297" s="739"/>
      <c r="I297" s="7"/>
    </row>
    <row r="298" spans="1:9" ht="20.25" customHeight="1">
      <c r="A298" s="12"/>
      <c r="B298" s="12"/>
      <c r="C298" s="12"/>
      <c r="D298" s="691"/>
      <c r="E298" s="691"/>
      <c r="F298" s="189"/>
      <c r="G298" s="226"/>
      <c r="H298" s="739"/>
      <c r="I298" s="7"/>
    </row>
    <row r="299" spans="1:9" ht="20.25" customHeight="1">
      <c r="A299" s="12"/>
      <c r="B299" s="12"/>
      <c r="C299" s="12"/>
      <c r="D299" s="691"/>
      <c r="E299" s="691"/>
      <c r="F299" s="189"/>
      <c r="G299" s="226"/>
      <c r="H299" s="739"/>
      <c r="I299" s="7"/>
    </row>
    <row r="300" spans="1:9" ht="20.25" customHeight="1">
      <c r="A300" s="12"/>
      <c r="B300" s="12"/>
      <c r="C300" s="12"/>
      <c r="D300" s="691"/>
      <c r="E300" s="691"/>
      <c r="F300" s="189"/>
      <c r="G300" s="226"/>
      <c r="H300" s="739"/>
      <c r="I300" s="7"/>
    </row>
    <row r="301" spans="1:9" ht="20.25" customHeight="1">
      <c r="A301" s="12"/>
      <c r="B301" s="12"/>
      <c r="C301" s="12"/>
      <c r="D301" s="691"/>
      <c r="E301" s="691"/>
      <c r="F301" s="189"/>
      <c r="G301" s="226"/>
      <c r="H301" s="739"/>
      <c r="I301" s="7"/>
    </row>
    <row r="302" spans="1:9" ht="20.25" customHeight="1">
      <c r="A302" s="12"/>
      <c r="B302" s="12"/>
      <c r="C302" s="12"/>
      <c r="D302" s="691"/>
      <c r="E302" s="691"/>
      <c r="F302" s="189"/>
      <c r="G302" s="226"/>
      <c r="H302" s="739"/>
      <c r="I302" s="7"/>
    </row>
    <row r="303" spans="1:9" ht="20.25" customHeight="1">
      <c r="A303" s="12"/>
      <c r="B303" s="12"/>
      <c r="C303" s="12"/>
      <c r="D303" s="691"/>
      <c r="E303" s="691"/>
      <c r="F303" s="189"/>
      <c r="G303" s="226"/>
      <c r="H303" s="739"/>
      <c r="I303" s="7"/>
    </row>
    <row r="304" spans="1:9" ht="20.25" customHeight="1">
      <c r="A304" s="12"/>
      <c r="B304" s="12"/>
      <c r="C304" s="12"/>
      <c r="D304" s="691"/>
      <c r="E304" s="691"/>
      <c r="F304" s="189"/>
      <c r="G304" s="226"/>
      <c r="H304" s="739"/>
      <c r="I304" s="7"/>
    </row>
    <row r="305" spans="1:9" ht="20.25" customHeight="1">
      <c r="A305" s="12"/>
      <c r="B305" s="12"/>
      <c r="C305" s="12"/>
      <c r="D305" s="691"/>
      <c r="E305" s="691"/>
      <c r="F305" s="189"/>
      <c r="G305" s="226"/>
      <c r="H305" s="739"/>
      <c r="I305" s="7"/>
    </row>
    <row r="306" spans="1:9" ht="20.25" customHeight="1">
      <c r="A306" s="12"/>
      <c r="B306" s="12"/>
      <c r="C306" s="12"/>
      <c r="D306" s="691"/>
      <c r="E306" s="691"/>
      <c r="F306" s="189"/>
      <c r="G306" s="226"/>
      <c r="H306" s="739"/>
      <c r="I306" s="7"/>
    </row>
    <row r="307" spans="1:9" ht="20.25" customHeight="1">
      <c r="A307" s="12"/>
      <c r="B307" s="12"/>
      <c r="C307" s="12"/>
      <c r="D307" s="691"/>
      <c r="E307" s="691"/>
      <c r="F307" s="189"/>
      <c r="G307" s="226"/>
      <c r="H307" s="739"/>
      <c r="I307" s="7"/>
    </row>
    <row r="308" spans="1:9" ht="20.25" customHeight="1">
      <c r="A308" s="12"/>
      <c r="B308" s="12"/>
      <c r="C308" s="12"/>
      <c r="D308" s="691"/>
      <c r="E308" s="691"/>
      <c r="F308" s="189"/>
      <c r="G308" s="226"/>
      <c r="H308" s="739"/>
      <c r="I308" s="7"/>
    </row>
    <row r="309" spans="1:9" ht="20.25" customHeight="1">
      <c r="A309" s="12"/>
      <c r="B309" s="12"/>
      <c r="C309" s="12"/>
      <c r="D309" s="691"/>
      <c r="E309" s="691"/>
      <c r="F309" s="189"/>
      <c r="G309" s="226"/>
      <c r="H309" s="739"/>
      <c r="I309" s="7"/>
    </row>
    <row r="310" spans="1:9" ht="20.25" customHeight="1">
      <c r="A310" s="12"/>
      <c r="B310" s="12"/>
      <c r="C310" s="12"/>
      <c r="D310" s="691"/>
      <c r="E310" s="691"/>
      <c r="F310" s="189"/>
      <c r="G310" s="226"/>
      <c r="H310" s="739"/>
      <c r="I310" s="7"/>
    </row>
    <row r="311" spans="1:9" ht="20.25" customHeight="1">
      <c r="A311" s="12"/>
      <c r="B311" s="12"/>
      <c r="C311" s="12"/>
      <c r="D311" s="691"/>
      <c r="E311" s="691"/>
      <c r="F311" s="189"/>
      <c r="G311" s="226"/>
      <c r="H311" s="739"/>
      <c r="I311" s="7"/>
    </row>
    <row r="312" spans="1:9" ht="20.25" customHeight="1">
      <c r="A312" s="12"/>
      <c r="B312" s="12"/>
      <c r="C312" s="12"/>
      <c r="D312" s="691"/>
      <c r="E312" s="691"/>
      <c r="F312" s="189"/>
      <c r="G312" s="226"/>
      <c r="H312" s="739"/>
      <c r="I312" s="7"/>
    </row>
    <row r="313" spans="1:9" ht="20.25" customHeight="1">
      <c r="A313" s="12"/>
      <c r="B313" s="12"/>
      <c r="C313" s="12"/>
      <c r="D313" s="691"/>
      <c r="E313" s="691"/>
      <c r="F313" s="189"/>
      <c r="G313" s="226"/>
      <c r="H313" s="739"/>
      <c r="I313" s="7"/>
    </row>
    <row r="314" spans="1:9" ht="20.25" customHeight="1">
      <c r="A314" s="12"/>
      <c r="B314" s="12"/>
      <c r="C314" s="12"/>
      <c r="D314" s="691"/>
      <c r="E314" s="691"/>
      <c r="F314" s="189"/>
      <c r="G314" s="226"/>
      <c r="H314" s="739"/>
      <c r="I314" s="7"/>
    </row>
    <row r="315" spans="1:9" ht="20.25" customHeight="1">
      <c r="A315" s="12"/>
      <c r="B315" s="12"/>
      <c r="C315" s="12"/>
      <c r="D315" s="691"/>
      <c r="E315" s="691"/>
      <c r="F315" s="189"/>
      <c r="G315" s="226"/>
      <c r="H315" s="739"/>
      <c r="I315" s="7"/>
    </row>
    <row r="316" spans="1:9" ht="20.25" customHeight="1">
      <c r="A316" s="12"/>
      <c r="B316" s="12"/>
      <c r="C316" s="12"/>
      <c r="D316" s="691"/>
      <c r="E316" s="691"/>
      <c r="F316" s="189"/>
      <c r="G316" s="226"/>
      <c r="H316" s="739"/>
      <c r="I316" s="7"/>
    </row>
    <row r="317" spans="1:9" ht="20.25" customHeight="1">
      <c r="A317" s="12"/>
      <c r="B317" s="12"/>
      <c r="C317" s="12"/>
      <c r="D317" s="691"/>
      <c r="E317" s="691"/>
      <c r="F317" s="189"/>
      <c r="G317" s="226"/>
      <c r="H317" s="739"/>
      <c r="I317" s="7"/>
    </row>
    <row r="318" spans="1:9" ht="20.25" customHeight="1">
      <c r="A318" s="12"/>
      <c r="B318" s="12"/>
      <c r="C318" s="12"/>
      <c r="D318" s="691"/>
      <c r="E318" s="691"/>
      <c r="F318" s="189"/>
      <c r="G318" s="226"/>
      <c r="H318" s="739"/>
      <c r="I318" s="7"/>
    </row>
    <row r="319" spans="1:9" ht="20.25" customHeight="1">
      <c r="A319" s="12"/>
      <c r="B319" s="12"/>
      <c r="C319" s="12"/>
      <c r="D319" s="691"/>
      <c r="E319" s="691"/>
      <c r="F319" s="189"/>
      <c r="G319" s="226"/>
      <c r="H319" s="739"/>
      <c r="I319" s="7"/>
    </row>
    <row r="320" spans="1:9" ht="20.25" customHeight="1">
      <c r="A320" s="12"/>
      <c r="B320" s="12"/>
      <c r="C320" s="12"/>
      <c r="D320" s="691"/>
      <c r="E320" s="691"/>
      <c r="F320" s="189"/>
      <c r="G320" s="226"/>
      <c r="H320" s="739"/>
      <c r="I320" s="7"/>
    </row>
    <row r="321" spans="1:9" ht="20.25" customHeight="1">
      <c r="A321" s="12"/>
      <c r="B321" s="12"/>
      <c r="C321" s="12"/>
      <c r="D321" s="691"/>
      <c r="E321" s="691"/>
      <c r="F321" s="189"/>
      <c r="G321" s="226"/>
      <c r="H321" s="739"/>
      <c r="I321" s="7"/>
    </row>
    <row r="322" spans="1:9" ht="20.25" customHeight="1">
      <c r="A322" s="12"/>
      <c r="B322" s="12"/>
      <c r="C322" s="12"/>
      <c r="D322" s="691"/>
      <c r="E322" s="691"/>
      <c r="F322" s="189"/>
      <c r="G322" s="226"/>
      <c r="H322" s="739"/>
      <c r="I322" s="7"/>
    </row>
    <row r="323" spans="1:9" ht="20.25" customHeight="1">
      <c r="A323" s="12"/>
      <c r="B323" s="12"/>
      <c r="C323" s="12"/>
      <c r="D323" s="691"/>
      <c r="E323" s="691"/>
      <c r="F323" s="189"/>
      <c r="G323" s="226"/>
      <c r="H323" s="739"/>
      <c r="I323" s="7"/>
    </row>
    <row r="324" spans="1:9" ht="20.25" customHeight="1">
      <c r="A324" s="12"/>
      <c r="B324" s="12"/>
      <c r="C324" s="12"/>
      <c r="D324" s="691"/>
      <c r="E324" s="691"/>
      <c r="F324" s="189"/>
      <c r="G324" s="226"/>
      <c r="H324" s="739"/>
      <c r="I324" s="7"/>
    </row>
    <row r="325" spans="1:9" ht="20.25" customHeight="1">
      <c r="A325" s="12"/>
      <c r="B325" s="12"/>
      <c r="C325" s="12"/>
      <c r="D325" s="691"/>
      <c r="E325" s="691"/>
      <c r="F325" s="189"/>
      <c r="G325" s="226"/>
      <c r="H325" s="739"/>
      <c r="I325" s="7"/>
    </row>
    <row r="326" spans="1:9" ht="20.25" customHeight="1">
      <c r="A326" s="12"/>
      <c r="B326" s="12"/>
      <c r="C326" s="12"/>
      <c r="D326" s="691"/>
      <c r="E326" s="691"/>
      <c r="F326" s="189"/>
      <c r="G326" s="226"/>
      <c r="H326" s="739"/>
      <c r="I326" s="7"/>
    </row>
    <row r="327" spans="1:9" ht="20.25" customHeight="1">
      <c r="A327" s="12"/>
      <c r="B327" s="12"/>
      <c r="C327" s="12"/>
      <c r="D327" s="691"/>
      <c r="E327" s="691"/>
      <c r="F327" s="189"/>
      <c r="G327" s="226"/>
      <c r="H327" s="739"/>
      <c r="I327" s="7"/>
    </row>
    <row r="328" spans="1:9" ht="20.25" customHeight="1">
      <c r="A328" s="12"/>
      <c r="B328" s="12"/>
      <c r="C328" s="12"/>
      <c r="D328" s="691"/>
      <c r="E328" s="691"/>
      <c r="F328" s="189"/>
      <c r="G328" s="226"/>
      <c r="H328" s="739"/>
      <c r="I328" s="7"/>
    </row>
    <row r="329" spans="1:9" ht="20.25" customHeight="1">
      <c r="A329" s="12"/>
      <c r="B329" s="12"/>
      <c r="C329" s="12"/>
      <c r="D329" s="691"/>
      <c r="E329" s="691"/>
      <c r="F329" s="189"/>
      <c r="G329" s="226"/>
      <c r="H329" s="739"/>
      <c r="I329" s="7"/>
    </row>
    <row r="330" spans="1:9" ht="20.25" customHeight="1">
      <c r="A330" s="12"/>
      <c r="B330" s="12"/>
      <c r="C330" s="12"/>
      <c r="D330" s="691"/>
      <c r="E330" s="691"/>
      <c r="F330" s="189"/>
      <c r="G330" s="226"/>
      <c r="H330" s="739"/>
      <c r="I330" s="7"/>
    </row>
    <row r="331" spans="1:9" ht="20.25" customHeight="1">
      <c r="A331" s="12"/>
      <c r="B331" s="12"/>
      <c r="C331" s="12"/>
      <c r="D331" s="691"/>
      <c r="E331" s="691"/>
      <c r="F331" s="189"/>
      <c r="G331" s="226"/>
      <c r="H331" s="739"/>
      <c r="I331" s="7"/>
    </row>
    <row r="332" spans="1:9" ht="20.25" customHeight="1">
      <c r="A332" s="12"/>
      <c r="B332" s="12"/>
      <c r="C332" s="12"/>
      <c r="D332" s="691"/>
      <c r="E332" s="691"/>
      <c r="F332" s="189"/>
      <c r="G332" s="226"/>
      <c r="H332" s="739"/>
      <c r="I332" s="7"/>
    </row>
    <row r="333" spans="1:9" ht="20.25" customHeight="1">
      <c r="A333" s="12"/>
      <c r="B333" s="12"/>
      <c r="C333" s="12"/>
      <c r="D333" s="691"/>
      <c r="E333" s="691"/>
      <c r="F333" s="189"/>
      <c r="G333" s="226"/>
      <c r="H333" s="739"/>
      <c r="I333" s="7"/>
    </row>
    <row r="334" spans="1:9" ht="20.25" customHeight="1">
      <c r="A334" s="12"/>
      <c r="B334" s="12"/>
      <c r="C334" s="12"/>
      <c r="D334" s="691"/>
      <c r="E334" s="691"/>
      <c r="F334" s="189"/>
      <c r="G334" s="226"/>
      <c r="H334" s="739"/>
      <c r="I334" s="7"/>
    </row>
    <row r="335" spans="1:9" ht="20.25" customHeight="1">
      <c r="A335" s="12"/>
      <c r="B335" s="12"/>
      <c r="C335" s="12"/>
      <c r="D335" s="691"/>
      <c r="E335" s="691"/>
      <c r="F335" s="189"/>
      <c r="G335" s="226"/>
      <c r="H335" s="739"/>
      <c r="I335" s="7"/>
    </row>
    <row r="336" spans="1:9" ht="20.25" customHeight="1">
      <c r="A336" s="12"/>
      <c r="B336" s="12"/>
      <c r="C336" s="12"/>
      <c r="D336" s="691"/>
      <c r="E336" s="691"/>
      <c r="F336" s="189"/>
      <c r="G336" s="226"/>
      <c r="H336" s="739"/>
      <c r="I336" s="7"/>
    </row>
    <row r="337" spans="1:9" ht="20.25" customHeight="1">
      <c r="A337" s="12"/>
      <c r="B337" s="12"/>
      <c r="C337" s="12"/>
      <c r="D337" s="691"/>
      <c r="E337" s="691"/>
      <c r="F337" s="189"/>
      <c r="G337" s="226"/>
      <c r="H337" s="739"/>
      <c r="I337" s="7"/>
    </row>
    <row r="338" spans="1:9" ht="20.25" customHeight="1">
      <c r="A338" s="12"/>
      <c r="B338" s="12"/>
      <c r="C338" s="12"/>
      <c r="D338" s="691"/>
      <c r="E338" s="691"/>
      <c r="F338" s="189"/>
      <c r="G338" s="226"/>
      <c r="H338" s="739"/>
      <c r="I338" s="7"/>
    </row>
    <row r="339" spans="1:9" ht="20.25" customHeight="1">
      <c r="A339" s="12"/>
      <c r="B339" s="12"/>
      <c r="C339" s="12"/>
      <c r="D339" s="691"/>
      <c r="E339" s="691"/>
      <c r="F339" s="189"/>
      <c r="G339" s="226"/>
      <c r="H339" s="739"/>
      <c r="I339" s="7"/>
    </row>
    <row r="340" spans="1:9" ht="20.25" customHeight="1">
      <c r="A340" s="12"/>
      <c r="B340" s="12"/>
      <c r="C340" s="12"/>
      <c r="D340" s="691"/>
      <c r="E340" s="691"/>
      <c r="F340" s="189"/>
      <c r="G340" s="226"/>
      <c r="H340" s="739"/>
      <c r="I340" s="7"/>
    </row>
    <row r="341" spans="1:9" ht="20.25" customHeight="1">
      <c r="A341" s="12"/>
      <c r="B341" s="12"/>
      <c r="C341" s="12"/>
      <c r="D341" s="691"/>
      <c r="E341" s="691"/>
      <c r="F341" s="189"/>
      <c r="G341" s="226"/>
      <c r="H341" s="739"/>
      <c r="I341" s="7"/>
    </row>
    <row r="342" spans="1:9" ht="20.25" customHeight="1">
      <c r="A342" s="12"/>
      <c r="B342" s="12"/>
      <c r="C342" s="12"/>
      <c r="D342" s="691"/>
      <c r="E342" s="691"/>
      <c r="F342" s="189"/>
      <c r="G342" s="226"/>
      <c r="H342" s="739"/>
      <c r="I342" s="7"/>
    </row>
    <row r="343" spans="1:9" ht="20.25" customHeight="1">
      <c r="A343" s="12"/>
      <c r="B343" s="12"/>
      <c r="C343" s="12"/>
      <c r="D343" s="691"/>
      <c r="E343" s="691"/>
      <c r="F343" s="189"/>
      <c r="G343" s="226"/>
      <c r="H343" s="739"/>
      <c r="I343" s="7"/>
    </row>
    <row r="344" spans="1:9" ht="20.25" customHeight="1">
      <c r="A344" s="12"/>
      <c r="B344" s="12"/>
      <c r="C344" s="12"/>
      <c r="D344" s="691"/>
      <c r="E344" s="691"/>
      <c r="F344" s="189"/>
      <c r="G344" s="226"/>
      <c r="H344" s="739"/>
      <c r="I344" s="7"/>
    </row>
    <row r="345" spans="1:9" ht="20.25" customHeight="1">
      <c r="A345" s="12"/>
      <c r="B345" s="12"/>
      <c r="C345" s="12"/>
      <c r="D345" s="691"/>
      <c r="E345" s="691"/>
      <c r="F345" s="189"/>
      <c r="G345" s="226"/>
      <c r="H345" s="739"/>
      <c r="I345" s="7"/>
    </row>
    <row r="346" spans="1:9" ht="20.25" customHeight="1">
      <c r="A346" s="12"/>
      <c r="B346" s="12"/>
      <c r="C346" s="12"/>
      <c r="D346" s="691"/>
      <c r="E346" s="691"/>
      <c r="F346" s="189"/>
      <c r="G346" s="226"/>
      <c r="H346" s="739"/>
      <c r="I346" s="7"/>
    </row>
    <row r="347" spans="1:9" ht="20.25" customHeight="1">
      <c r="A347" s="12"/>
      <c r="B347" s="12"/>
      <c r="C347" s="12"/>
      <c r="D347" s="691"/>
      <c r="E347" s="691"/>
      <c r="F347" s="189"/>
      <c r="G347" s="226"/>
      <c r="H347" s="739"/>
      <c r="I347" s="7"/>
    </row>
    <row r="348" spans="1:9" ht="20.25" customHeight="1">
      <c r="A348" s="12"/>
      <c r="B348" s="12"/>
      <c r="C348" s="12"/>
      <c r="D348" s="691"/>
      <c r="E348" s="691"/>
      <c r="F348" s="189"/>
      <c r="G348" s="226"/>
      <c r="H348" s="739"/>
      <c r="I348" s="7"/>
    </row>
    <row r="349" spans="1:9" ht="20.25" customHeight="1">
      <c r="A349" s="12"/>
      <c r="B349" s="12"/>
      <c r="C349" s="12"/>
      <c r="D349" s="691"/>
      <c r="E349" s="691"/>
      <c r="F349" s="189"/>
      <c r="G349" s="226"/>
      <c r="H349" s="739"/>
      <c r="I349" s="7"/>
    </row>
    <row r="350" spans="1:9" ht="20.25" customHeight="1">
      <c r="A350" s="12"/>
      <c r="B350" s="12"/>
      <c r="C350" s="12"/>
      <c r="D350" s="691"/>
      <c r="E350" s="691"/>
      <c r="F350" s="189"/>
      <c r="G350" s="226"/>
      <c r="H350" s="739"/>
      <c r="I350" s="7"/>
    </row>
    <row r="351" spans="1:9" ht="20.25" customHeight="1">
      <c r="A351" s="12"/>
      <c r="B351" s="12"/>
      <c r="C351" s="12"/>
      <c r="D351" s="691"/>
      <c r="E351" s="691"/>
      <c r="F351" s="189"/>
      <c r="G351" s="226"/>
      <c r="H351" s="739"/>
      <c r="I351" s="7"/>
    </row>
    <row r="352" spans="1:9" ht="20.25" customHeight="1">
      <c r="A352" s="12"/>
      <c r="B352" s="12"/>
      <c r="C352" s="12"/>
      <c r="D352" s="691"/>
      <c r="E352" s="691"/>
      <c r="F352" s="189"/>
      <c r="G352" s="226"/>
      <c r="H352" s="739"/>
      <c r="I352" s="7"/>
    </row>
    <row r="353" spans="1:9" ht="20.25" customHeight="1">
      <c r="A353" s="12"/>
      <c r="B353" s="12"/>
      <c r="C353" s="12"/>
      <c r="D353" s="691"/>
      <c r="E353" s="691"/>
      <c r="F353" s="189"/>
      <c r="G353" s="226"/>
      <c r="H353" s="739"/>
      <c r="I353" s="7"/>
    </row>
    <row r="354" spans="1:9" ht="20.25" customHeight="1">
      <c r="A354" s="12"/>
      <c r="B354" s="12"/>
      <c r="C354" s="12"/>
      <c r="D354" s="691"/>
      <c r="E354" s="691"/>
      <c r="F354" s="189"/>
      <c r="G354" s="226"/>
      <c r="H354" s="739"/>
      <c r="I354" s="7"/>
    </row>
    <row r="355" spans="1:9" ht="20.25" customHeight="1">
      <c r="A355" s="12"/>
      <c r="B355" s="12"/>
      <c r="C355" s="12"/>
      <c r="D355" s="691"/>
      <c r="E355" s="691"/>
      <c r="F355" s="189"/>
      <c r="G355" s="226"/>
      <c r="H355" s="739"/>
      <c r="I355" s="7"/>
    </row>
    <row r="356" spans="1:9" ht="20.25" customHeight="1">
      <c r="A356" s="12"/>
      <c r="B356" s="12"/>
      <c r="C356" s="12"/>
      <c r="D356" s="691"/>
      <c r="E356" s="691"/>
      <c r="F356" s="189"/>
      <c r="G356" s="226"/>
      <c r="H356" s="739"/>
      <c r="I356" s="7"/>
    </row>
    <row r="357" spans="8:9" ht="20.25" customHeight="1">
      <c r="H357" s="739"/>
      <c r="I357" s="7"/>
    </row>
    <row r="358" spans="8:9" ht="20.25" customHeight="1">
      <c r="H358" s="739"/>
      <c r="I358" s="7"/>
    </row>
    <row r="359" spans="8:9" ht="20.25" customHeight="1">
      <c r="H359" s="739"/>
      <c r="I359" s="7"/>
    </row>
    <row r="360" spans="8:9" ht="20.25" customHeight="1">
      <c r="H360" s="739"/>
      <c r="I360" s="7"/>
    </row>
    <row r="361" spans="8:9" ht="20.25" customHeight="1">
      <c r="H361" s="739"/>
      <c r="I361" s="7"/>
    </row>
    <row r="362" spans="8:9" ht="20.25" customHeight="1">
      <c r="H362" s="739"/>
      <c r="I362" s="7"/>
    </row>
    <row r="363" spans="8:9" ht="20.25" customHeight="1">
      <c r="H363" s="739"/>
      <c r="I363" s="7"/>
    </row>
    <row r="364" spans="8:9" ht="20.25" customHeight="1">
      <c r="H364" s="739"/>
      <c r="I364" s="7"/>
    </row>
    <row r="365" spans="8:9" ht="20.25" customHeight="1">
      <c r="H365" s="739"/>
      <c r="I365" s="7"/>
    </row>
    <row r="366" spans="8:9" ht="20.25" customHeight="1">
      <c r="H366" s="739"/>
      <c r="I366" s="7"/>
    </row>
    <row r="367" spans="8:9" ht="20.25" customHeight="1">
      <c r="H367" s="739"/>
      <c r="I367" s="7"/>
    </row>
    <row r="368" spans="8:9" ht="20.25" customHeight="1">
      <c r="H368" s="739"/>
      <c r="I368" s="7"/>
    </row>
    <row r="369" spans="8:9" ht="20.25" customHeight="1">
      <c r="H369" s="739"/>
      <c r="I369" s="7"/>
    </row>
    <row r="370" spans="8:9" ht="20.25" customHeight="1">
      <c r="H370" s="739"/>
      <c r="I370" s="7"/>
    </row>
    <row r="371" spans="4:9" ht="20.25" customHeight="1">
      <c r="D371" s="640"/>
      <c r="E371" s="640"/>
      <c r="F371" s="1"/>
      <c r="G371" s="1"/>
      <c r="H371" s="739"/>
      <c r="I371" s="7"/>
    </row>
    <row r="372" spans="4:9" ht="20.25" customHeight="1">
      <c r="D372" s="640"/>
      <c r="E372" s="640"/>
      <c r="F372" s="1"/>
      <c r="G372" s="1"/>
      <c r="H372" s="739"/>
      <c r="I372" s="7"/>
    </row>
    <row r="373" spans="4:9" ht="20.25" customHeight="1">
      <c r="D373" s="640"/>
      <c r="E373" s="640"/>
      <c r="F373" s="1"/>
      <c r="G373" s="1"/>
      <c r="H373" s="739"/>
      <c r="I373" s="7"/>
    </row>
    <row r="374" spans="4:9" ht="20.25" customHeight="1">
      <c r="D374" s="640"/>
      <c r="E374" s="640"/>
      <c r="F374" s="1"/>
      <c r="G374" s="1"/>
      <c r="H374" s="739"/>
      <c r="I374" s="7"/>
    </row>
    <row r="375" spans="4:9" ht="20.25" customHeight="1">
      <c r="D375" s="640"/>
      <c r="E375" s="640"/>
      <c r="F375" s="1"/>
      <c r="G375" s="1"/>
      <c r="H375" s="739"/>
      <c r="I375" s="7"/>
    </row>
    <row r="376" spans="4:9" ht="20.25" customHeight="1">
      <c r="D376" s="640"/>
      <c r="E376" s="640"/>
      <c r="F376" s="1"/>
      <c r="G376" s="1"/>
      <c r="H376" s="739"/>
      <c r="I376" s="7"/>
    </row>
    <row r="377" spans="4:9" ht="20.25" customHeight="1">
      <c r="D377" s="640"/>
      <c r="E377" s="640"/>
      <c r="F377" s="1"/>
      <c r="G377" s="1"/>
      <c r="H377" s="739"/>
      <c r="I377" s="7"/>
    </row>
    <row r="378" spans="4:9" ht="20.25" customHeight="1">
      <c r="D378" s="640"/>
      <c r="E378" s="640"/>
      <c r="F378" s="1"/>
      <c r="G378" s="1"/>
      <c r="H378" s="739"/>
      <c r="I378" s="7"/>
    </row>
    <row r="379" spans="4:9" ht="20.25" customHeight="1">
      <c r="D379" s="640"/>
      <c r="E379" s="640"/>
      <c r="F379" s="1"/>
      <c r="G379" s="1"/>
      <c r="H379" s="739"/>
      <c r="I379" s="7"/>
    </row>
    <row r="380" spans="4:9" ht="20.25" customHeight="1">
      <c r="D380" s="640"/>
      <c r="E380" s="640"/>
      <c r="F380" s="1"/>
      <c r="G380" s="1"/>
      <c r="H380" s="739"/>
      <c r="I380" s="7"/>
    </row>
    <row r="381" spans="4:9" ht="20.25" customHeight="1">
      <c r="D381" s="640"/>
      <c r="E381" s="640"/>
      <c r="F381" s="1"/>
      <c r="G381" s="1"/>
      <c r="H381" s="739"/>
      <c r="I381" s="7"/>
    </row>
    <row r="382" spans="4:9" ht="20.25" customHeight="1">
      <c r="D382" s="640"/>
      <c r="E382" s="640"/>
      <c r="F382" s="1"/>
      <c r="G382" s="1"/>
      <c r="H382" s="739"/>
      <c r="I382" s="7"/>
    </row>
    <row r="383" spans="4:9" ht="20.25" customHeight="1">
      <c r="D383" s="640"/>
      <c r="E383" s="640"/>
      <c r="F383" s="1"/>
      <c r="G383" s="1"/>
      <c r="H383" s="739"/>
      <c r="I383" s="7"/>
    </row>
    <row r="384" spans="4:9" ht="20.25" customHeight="1">
      <c r="D384" s="640"/>
      <c r="E384" s="640"/>
      <c r="F384" s="1"/>
      <c r="G384" s="1"/>
      <c r="H384" s="739"/>
      <c r="I384" s="7"/>
    </row>
    <row r="385" spans="4:9" ht="20.25" customHeight="1">
      <c r="D385" s="640"/>
      <c r="E385" s="640"/>
      <c r="F385" s="1"/>
      <c r="G385" s="1"/>
      <c r="H385" s="739"/>
      <c r="I385" s="7"/>
    </row>
    <row r="386" spans="4:9" ht="20.25" customHeight="1">
      <c r="D386" s="640"/>
      <c r="E386" s="640"/>
      <c r="F386" s="1"/>
      <c r="G386" s="1"/>
      <c r="H386" s="739"/>
      <c r="I386" s="7"/>
    </row>
    <row r="387" spans="4:9" ht="20.25" customHeight="1">
      <c r="D387" s="640"/>
      <c r="E387" s="640"/>
      <c r="F387" s="1"/>
      <c r="G387" s="1"/>
      <c r="H387" s="739"/>
      <c r="I387" s="7"/>
    </row>
    <row r="388" spans="4:9" ht="20.25" customHeight="1">
      <c r="D388" s="640"/>
      <c r="E388" s="640"/>
      <c r="F388" s="1"/>
      <c r="G388" s="1"/>
      <c r="H388" s="739"/>
      <c r="I388" s="7"/>
    </row>
    <row r="389" spans="4:9" ht="20.25" customHeight="1">
      <c r="D389" s="640"/>
      <c r="E389" s="640"/>
      <c r="F389" s="1"/>
      <c r="G389" s="1"/>
      <c r="H389" s="739"/>
      <c r="I389" s="7"/>
    </row>
    <row r="390" spans="4:9" ht="20.25" customHeight="1">
      <c r="D390" s="640"/>
      <c r="E390" s="640"/>
      <c r="F390" s="1"/>
      <c r="G390" s="1"/>
      <c r="H390" s="739"/>
      <c r="I390" s="7"/>
    </row>
    <row r="391" spans="4:9" ht="20.25" customHeight="1">
      <c r="D391" s="640"/>
      <c r="E391" s="640"/>
      <c r="F391" s="1"/>
      <c r="G391" s="1"/>
      <c r="H391" s="739"/>
      <c r="I391" s="7"/>
    </row>
    <row r="392" spans="4:9" ht="20.25" customHeight="1">
      <c r="D392" s="640"/>
      <c r="E392" s="640"/>
      <c r="F392" s="1"/>
      <c r="G392" s="1"/>
      <c r="H392" s="739"/>
      <c r="I392" s="7"/>
    </row>
    <row r="393" spans="4:9" ht="20.25" customHeight="1">
      <c r="D393" s="640"/>
      <c r="E393" s="640"/>
      <c r="F393" s="1"/>
      <c r="G393" s="1"/>
      <c r="H393" s="739"/>
      <c r="I393" s="7"/>
    </row>
    <row r="394" spans="4:9" ht="20.25" customHeight="1">
      <c r="D394" s="640"/>
      <c r="E394" s="640"/>
      <c r="F394" s="1"/>
      <c r="G394" s="1"/>
      <c r="H394" s="739"/>
      <c r="I394" s="7"/>
    </row>
    <row r="395" spans="4:9" ht="20.25" customHeight="1">
      <c r="D395" s="640"/>
      <c r="E395" s="640"/>
      <c r="F395" s="1"/>
      <c r="G395" s="1"/>
      <c r="H395" s="739"/>
      <c r="I395" s="7"/>
    </row>
    <row r="396" spans="4:9" ht="20.25" customHeight="1">
      <c r="D396" s="640"/>
      <c r="E396" s="640"/>
      <c r="F396" s="1"/>
      <c r="G396" s="1"/>
      <c r="H396" s="739"/>
      <c r="I396" s="7"/>
    </row>
    <row r="397" spans="4:9" ht="20.25" customHeight="1">
      <c r="D397" s="640"/>
      <c r="E397" s="640"/>
      <c r="F397" s="1"/>
      <c r="G397" s="1"/>
      <c r="H397" s="739"/>
      <c r="I397" s="7"/>
    </row>
    <row r="398" spans="4:9" ht="20.25" customHeight="1">
      <c r="D398" s="640"/>
      <c r="E398" s="640"/>
      <c r="F398" s="1"/>
      <c r="G398" s="1"/>
      <c r="H398" s="739"/>
      <c r="I398" s="7"/>
    </row>
    <row r="399" spans="4:9" ht="20.25" customHeight="1">
      <c r="D399" s="640"/>
      <c r="E399" s="640"/>
      <c r="F399" s="1"/>
      <c r="G399" s="1"/>
      <c r="H399" s="739"/>
      <c r="I399" s="7"/>
    </row>
    <row r="400" spans="4:9" ht="20.25" customHeight="1">
      <c r="D400" s="640"/>
      <c r="E400" s="640"/>
      <c r="F400" s="1"/>
      <c r="G400" s="1"/>
      <c r="H400" s="739"/>
      <c r="I400" s="7"/>
    </row>
    <row r="401" spans="4:9" ht="20.25" customHeight="1">
      <c r="D401" s="640"/>
      <c r="E401" s="640"/>
      <c r="F401" s="1"/>
      <c r="G401" s="1"/>
      <c r="H401" s="739"/>
      <c r="I401" s="7"/>
    </row>
    <row r="402" spans="4:9" ht="20.25" customHeight="1">
      <c r="D402" s="640"/>
      <c r="E402" s="640"/>
      <c r="F402" s="1"/>
      <c r="G402" s="1"/>
      <c r="H402" s="739"/>
      <c r="I402" s="7"/>
    </row>
    <row r="403" spans="4:9" ht="20.25" customHeight="1">
      <c r="D403" s="640"/>
      <c r="E403" s="640"/>
      <c r="F403" s="1"/>
      <c r="G403" s="1"/>
      <c r="H403" s="739"/>
      <c r="I403" s="7"/>
    </row>
    <row r="404" spans="4:9" ht="20.25" customHeight="1">
      <c r="D404" s="640"/>
      <c r="E404" s="640"/>
      <c r="F404" s="1"/>
      <c r="G404" s="1"/>
      <c r="H404" s="739"/>
      <c r="I404" s="7"/>
    </row>
    <row r="405" spans="4:9" ht="20.25" customHeight="1">
      <c r="D405" s="640"/>
      <c r="E405" s="640"/>
      <c r="F405" s="1"/>
      <c r="G405" s="1"/>
      <c r="H405" s="739"/>
      <c r="I405" s="7"/>
    </row>
    <row r="406" spans="4:9" ht="20.25" customHeight="1">
      <c r="D406" s="640"/>
      <c r="E406" s="640"/>
      <c r="F406" s="1"/>
      <c r="G406" s="1"/>
      <c r="H406" s="739"/>
      <c r="I406" s="7"/>
    </row>
    <row r="407" spans="4:9" ht="20.25" customHeight="1">
      <c r="D407" s="640"/>
      <c r="E407" s="640"/>
      <c r="F407" s="1"/>
      <c r="G407" s="1"/>
      <c r="H407" s="739"/>
      <c r="I407" s="7"/>
    </row>
    <row r="408" spans="4:9" ht="20.25" customHeight="1">
      <c r="D408" s="640"/>
      <c r="E408" s="640"/>
      <c r="F408" s="1"/>
      <c r="G408" s="1"/>
      <c r="H408" s="739"/>
      <c r="I408" s="7"/>
    </row>
    <row r="409" spans="4:9" ht="20.25" customHeight="1">
      <c r="D409" s="640"/>
      <c r="E409" s="640"/>
      <c r="F409" s="1"/>
      <c r="G409" s="1"/>
      <c r="H409" s="739"/>
      <c r="I409" s="7"/>
    </row>
    <row r="410" spans="4:9" ht="20.25" customHeight="1">
      <c r="D410" s="640"/>
      <c r="E410" s="640"/>
      <c r="F410" s="1"/>
      <c r="G410" s="1"/>
      <c r="H410" s="739"/>
      <c r="I410" s="7"/>
    </row>
    <row r="411" spans="4:9" ht="20.25" customHeight="1">
      <c r="D411" s="640"/>
      <c r="E411" s="640"/>
      <c r="F411" s="1"/>
      <c r="G411" s="1"/>
      <c r="H411" s="739"/>
      <c r="I411" s="7"/>
    </row>
    <row r="412" spans="4:9" ht="20.25" customHeight="1">
      <c r="D412" s="640"/>
      <c r="E412" s="640"/>
      <c r="F412" s="1"/>
      <c r="G412" s="1"/>
      <c r="H412" s="739"/>
      <c r="I412" s="7"/>
    </row>
    <row r="413" spans="4:9" ht="20.25" customHeight="1">
      <c r="D413" s="640"/>
      <c r="E413" s="640"/>
      <c r="F413" s="1"/>
      <c r="G413" s="1"/>
      <c r="H413" s="739"/>
      <c r="I413" s="7"/>
    </row>
    <row r="414" spans="4:9" ht="20.25" customHeight="1">
      <c r="D414" s="640"/>
      <c r="E414" s="640"/>
      <c r="F414" s="1"/>
      <c r="G414" s="1"/>
      <c r="H414" s="739"/>
      <c r="I414" s="7"/>
    </row>
    <row r="415" spans="4:9" ht="20.25" customHeight="1">
      <c r="D415" s="640"/>
      <c r="E415" s="640"/>
      <c r="F415" s="1"/>
      <c r="G415" s="1"/>
      <c r="H415" s="739"/>
      <c r="I415" s="7"/>
    </row>
    <row r="416" spans="4:9" ht="20.25" customHeight="1">
      <c r="D416" s="640"/>
      <c r="E416" s="640"/>
      <c r="F416" s="1"/>
      <c r="G416" s="1"/>
      <c r="H416" s="739"/>
      <c r="I416" s="7"/>
    </row>
    <row r="417" spans="4:7" ht="20.25" customHeight="1">
      <c r="D417" s="640"/>
      <c r="E417" s="640"/>
      <c r="F417" s="1"/>
      <c r="G417" s="1"/>
    </row>
    <row r="418" spans="4:7" ht="20.25" customHeight="1">
      <c r="D418" s="640"/>
      <c r="E418" s="640"/>
      <c r="F418" s="1"/>
      <c r="G418" s="1"/>
    </row>
    <row r="419" spans="4:9" ht="20.25" customHeight="1">
      <c r="D419" s="640"/>
      <c r="E419" s="640"/>
      <c r="F419" s="1"/>
      <c r="G419" s="1"/>
      <c r="H419" s="640"/>
      <c r="I419" s="1"/>
    </row>
    <row r="420" spans="4:9" ht="20.25" customHeight="1">
      <c r="D420" s="640"/>
      <c r="E420" s="640"/>
      <c r="F420" s="1"/>
      <c r="G420" s="1"/>
      <c r="H420" s="640"/>
      <c r="I420" s="1"/>
    </row>
    <row r="421" spans="4:9" ht="20.25" customHeight="1">
      <c r="D421" s="640"/>
      <c r="E421" s="640"/>
      <c r="F421" s="1"/>
      <c r="G421" s="1"/>
      <c r="H421" s="640"/>
      <c r="I421" s="1"/>
    </row>
    <row r="422" spans="4:9" ht="20.25" customHeight="1">
      <c r="D422" s="640"/>
      <c r="E422" s="640"/>
      <c r="F422" s="1"/>
      <c r="G422" s="1"/>
      <c r="H422" s="640"/>
      <c r="I422" s="1"/>
    </row>
    <row r="423" spans="4:9" ht="20.25" customHeight="1">
      <c r="D423" s="640"/>
      <c r="E423" s="640"/>
      <c r="F423" s="1"/>
      <c r="G423" s="1"/>
      <c r="H423" s="640"/>
      <c r="I423" s="1"/>
    </row>
    <row r="424" spans="4:9" ht="20.25" customHeight="1">
      <c r="D424" s="640"/>
      <c r="E424" s="640"/>
      <c r="F424" s="1"/>
      <c r="G424" s="1"/>
      <c r="H424" s="640"/>
      <c r="I424" s="1"/>
    </row>
    <row r="425" spans="4:9" ht="20.25" customHeight="1">
      <c r="D425" s="640"/>
      <c r="E425" s="640"/>
      <c r="F425" s="1"/>
      <c r="G425" s="1"/>
      <c r="H425" s="640"/>
      <c r="I425" s="1"/>
    </row>
    <row r="426" spans="4:9" ht="20.25" customHeight="1">
      <c r="D426" s="640"/>
      <c r="E426" s="640"/>
      <c r="F426" s="1"/>
      <c r="G426" s="1"/>
      <c r="H426" s="640"/>
      <c r="I426" s="1"/>
    </row>
    <row r="427" spans="4:9" ht="20.25" customHeight="1">
      <c r="D427" s="640"/>
      <c r="E427" s="640"/>
      <c r="F427" s="1"/>
      <c r="G427" s="1"/>
      <c r="H427" s="640"/>
      <c r="I427" s="1"/>
    </row>
    <row r="428" spans="4:9" ht="20.25" customHeight="1">
      <c r="D428" s="640"/>
      <c r="E428" s="640"/>
      <c r="F428" s="1"/>
      <c r="G428" s="1"/>
      <c r="H428" s="640"/>
      <c r="I428" s="1"/>
    </row>
    <row r="429" spans="4:9" ht="20.25" customHeight="1">
      <c r="D429" s="640"/>
      <c r="E429" s="640"/>
      <c r="F429" s="1"/>
      <c r="G429" s="1"/>
      <c r="H429" s="640"/>
      <c r="I429" s="1"/>
    </row>
    <row r="430" spans="4:9" ht="20.25" customHeight="1">
      <c r="D430" s="640"/>
      <c r="E430" s="640"/>
      <c r="F430" s="1"/>
      <c r="G430" s="1"/>
      <c r="H430" s="640"/>
      <c r="I430" s="1"/>
    </row>
    <row r="431" spans="4:9" ht="20.25" customHeight="1">
      <c r="D431" s="640"/>
      <c r="E431" s="640"/>
      <c r="F431" s="1"/>
      <c r="G431" s="1"/>
      <c r="H431" s="640"/>
      <c r="I431" s="1"/>
    </row>
    <row r="432" spans="4:9" ht="20.25" customHeight="1">
      <c r="D432" s="640"/>
      <c r="E432" s="640"/>
      <c r="F432" s="1"/>
      <c r="G432" s="1"/>
      <c r="H432" s="640"/>
      <c r="I432" s="1"/>
    </row>
    <row r="433" spans="4:9" ht="20.25" customHeight="1">
      <c r="D433" s="640"/>
      <c r="E433" s="640"/>
      <c r="F433" s="1"/>
      <c r="G433" s="1"/>
      <c r="H433" s="640"/>
      <c r="I433" s="1"/>
    </row>
    <row r="434" spans="4:9" ht="20.25" customHeight="1">
      <c r="D434" s="640"/>
      <c r="E434" s="640"/>
      <c r="F434" s="1"/>
      <c r="G434" s="1"/>
      <c r="H434" s="640"/>
      <c r="I434" s="1"/>
    </row>
    <row r="435" spans="4:9" ht="20.25" customHeight="1">
      <c r="D435" s="640"/>
      <c r="E435" s="640"/>
      <c r="F435" s="1"/>
      <c r="G435" s="1"/>
      <c r="H435" s="640"/>
      <c r="I435" s="1"/>
    </row>
    <row r="436" spans="4:9" ht="20.25" customHeight="1">
      <c r="D436" s="640"/>
      <c r="E436" s="640"/>
      <c r="F436" s="1"/>
      <c r="G436" s="1"/>
      <c r="H436" s="640"/>
      <c r="I436" s="1"/>
    </row>
    <row r="437" spans="4:9" ht="20.25" customHeight="1">
      <c r="D437" s="640"/>
      <c r="E437" s="640"/>
      <c r="F437" s="1"/>
      <c r="G437" s="1"/>
      <c r="H437" s="640"/>
      <c r="I437" s="1"/>
    </row>
    <row r="438" spans="4:9" ht="20.25" customHeight="1">
      <c r="D438" s="640"/>
      <c r="E438" s="640"/>
      <c r="F438" s="1"/>
      <c r="G438" s="1"/>
      <c r="H438" s="640"/>
      <c r="I438" s="1"/>
    </row>
    <row r="439" spans="4:9" ht="20.25" customHeight="1">
      <c r="D439" s="640"/>
      <c r="E439" s="640"/>
      <c r="F439" s="1"/>
      <c r="G439" s="1"/>
      <c r="H439" s="640"/>
      <c r="I439" s="1"/>
    </row>
    <row r="440" spans="4:9" ht="20.25" customHeight="1">
      <c r="D440" s="640"/>
      <c r="E440" s="640"/>
      <c r="F440" s="1"/>
      <c r="G440" s="1"/>
      <c r="H440" s="640"/>
      <c r="I440" s="1"/>
    </row>
    <row r="441" spans="4:9" ht="20.25" customHeight="1">
      <c r="D441" s="640"/>
      <c r="E441" s="640"/>
      <c r="F441" s="1"/>
      <c r="G441" s="1"/>
      <c r="H441" s="640"/>
      <c r="I441" s="1"/>
    </row>
    <row r="442" spans="4:9" ht="20.25" customHeight="1">
      <c r="D442" s="640"/>
      <c r="E442" s="640"/>
      <c r="F442" s="1"/>
      <c r="G442" s="1"/>
      <c r="H442" s="640"/>
      <c r="I442" s="1"/>
    </row>
    <row r="443" spans="4:9" ht="20.25" customHeight="1">
      <c r="D443" s="640"/>
      <c r="E443" s="640"/>
      <c r="F443" s="1"/>
      <c r="G443" s="1"/>
      <c r="H443" s="640"/>
      <c r="I443" s="1"/>
    </row>
    <row r="444" spans="4:9" ht="20.25" customHeight="1">
      <c r="D444" s="640"/>
      <c r="E444" s="640"/>
      <c r="F444" s="1"/>
      <c r="G444" s="1"/>
      <c r="H444" s="640"/>
      <c r="I444" s="1"/>
    </row>
    <row r="445" spans="4:9" ht="20.25" customHeight="1">
      <c r="D445" s="640"/>
      <c r="E445" s="640"/>
      <c r="F445" s="1"/>
      <c r="G445" s="1"/>
      <c r="H445" s="640"/>
      <c r="I445" s="1"/>
    </row>
    <row r="446" spans="4:9" ht="20.25" customHeight="1">
      <c r="D446" s="640"/>
      <c r="E446" s="640"/>
      <c r="F446" s="1"/>
      <c r="G446" s="1"/>
      <c r="H446" s="640"/>
      <c r="I446" s="1"/>
    </row>
    <row r="447" spans="4:9" ht="20.25" customHeight="1">
      <c r="D447" s="640"/>
      <c r="E447" s="640"/>
      <c r="F447" s="1"/>
      <c r="G447" s="1"/>
      <c r="H447" s="640"/>
      <c r="I447" s="1"/>
    </row>
    <row r="448" spans="4:9" ht="20.25" customHeight="1">
      <c r="D448" s="640"/>
      <c r="E448" s="640"/>
      <c r="F448" s="1"/>
      <c r="G448" s="1"/>
      <c r="H448" s="640"/>
      <c r="I448" s="1"/>
    </row>
    <row r="449" spans="4:9" ht="20.25" customHeight="1">
      <c r="D449" s="640"/>
      <c r="E449" s="640"/>
      <c r="F449" s="1"/>
      <c r="G449" s="1"/>
      <c r="H449" s="640"/>
      <c r="I449" s="1"/>
    </row>
    <row r="450" spans="4:9" ht="20.25" customHeight="1">
      <c r="D450" s="640"/>
      <c r="E450" s="640"/>
      <c r="F450" s="1"/>
      <c r="G450" s="1"/>
      <c r="H450" s="640"/>
      <c r="I450" s="1"/>
    </row>
    <row r="451" spans="4:9" ht="20.25" customHeight="1">
      <c r="D451" s="640"/>
      <c r="E451" s="640"/>
      <c r="F451" s="1"/>
      <c r="G451" s="1"/>
      <c r="H451" s="640"/>
      <c r="I451" s="1"/>
    </row>
    <row r="452" spans="4:9" ht="20.25" customHeight="1">
      <c r="D452" s="640"/>
      <c r="E452" s="640"/>
      <c r="F452" s="1"/>
      <c r="G452" s="1"/>
      <c r="H452" s="640"/>
      <c r="I452" s="1"/>
    </row>
    <row r="453" spans="4:9" ht="20.25" customHeight="1">
      <c r="D453" s="640"/>
      <c r="E453" s="640"/>
      <c r="F453" s="1"/>
      <c r="G453" s="1"/>
      <c r="H453" s="640"/>
      <c r="I453" s="1"/>
    </row>
    <row r="454" spans="4:9" ht="20.25" customHeight="1">
      <c r="D454" s="640"/>
      <c r="E454" s="640"/>
      <c r="F454" s="1"/>
      <c r="G454" s="1"/>
      <c r="H454" s="640"/>
      <c r="I454" s="1"/>
    </row>
    <row r="455" spans="4:9" ht="20.25" customHeight="1">
      <c r="D455" s="640"/>
      <c r="E455" s="640"/>
      <c r="F455" s="1"/>
      <c r="G455" s="1"/>
      <c r="H455" s="640"/>
      <c r="I455" s="1"/>
    </row>
    <row r="456" spans="4:9" ht="20.25" customHeight="1">
      <c r="D456" s="640"/>
      <c r="E456" s="640"/>
      <c r="F456" s="1"/>
      <c r="G456" s="1"/>
      <c r="H456" s="640"/>
      <c r="I456" s="1"/>
    </row>
    <row r="457" spans="4:9" ht="20.25" customHeight="1">
      <c r="D457" s="640"/>
      <c r="E457" s="640"/>
      <c r="F457" s="1"/>
      <c r="G457" s="1"/>
      <c r="H457" s="640"/>
      <c r="I457" s="1"/>
    </row>
    <row r="458" spans="4:9" ht="20.25" customHeight="1">
      <c r="D458" s="640"/>
      <c r="E458" s="640"/>
      <c r="F458" s="1"/>
      <c r="G458" s="1"/>
      <c r="H458" s="640"/>
      <c r="I458" s="1"/>
    </row>
    <row r="459" spans="4:9" ht="20.25" customHeight="1">
      <c r="D459" s="640"/>
      <c r="E459" s="640"/>
      <c r="F459" s="1"/>
      <c r="G459" s="1"/>
      <c r="H459" s="640"/>
      <c r="I459" s="1"/>
    </row>
    <row r="460" spans="4:9" ht="20.25" customHeight="1">
      <c r="D460" s="640"/>
      <c r="E460" s="640"/>
      <c r="F460" s="1"/>
      <c r="G460" s="1"/>
      <c r="H460" s="640"/>
      <c r="I460" s="1"/>
    </row>
    <row r="461" spans="4:9" ht="20.25" customHeight="1">
      <c r="D461" s="640"/>
      <c r="E461" s="640"/>
      <c r="F461" s="1"/>
      <c r="G461" s="1"/>
      <c r="H461" s="640"/>
      <c r="I461" s="1"/>
    </row>
    <row r="462" spans="4:9" ht="20.25" customHeight="1">
      <c r="D462" s="640"/>
      <c r="E462" s="640"/>
      <c r="F462" s="1"/>
      <c r="G462" s="1"/>
      <c r="H462" s="640"/>
      <c r="I462" s="1"/>
    </row>
    <row r="463" spans="4:9" ht="20.25" customHeight="1">
      <c r="D463" s="640"/>
      <c r="E463" s="640"/>
      <c r="F463" s="1"/>
      <c r="G463" s="1"/>
      <c r="H463" s="640"/>
      <c r="I463" s="1"/>
    </row>
    <row r="464" spans="4:9" ht="20.25" customHeight="1">
      <c r="D464" s="640"/>
      <c r="E464" s="640"/>
      <c r="F464" s="1"/>
      <c r="G464" s="1"/>
      <c r="H464" s="640"/>
      <c r="I464" s="1"/>
    </row>
    <row r="465" spans="4:9" ht="20.25" customHeight="1">
      <c r="D465" s="640"/>
      <c r="E465" s="640"/>
      <c r="F465" s="1"/>
      <c r="G465" s="1"/>
      <c r="H465" s="640"/>
      <c r="I465" s="1"/>
    </row>
    <row r="466" spans="4:9" ht="20.25" customHeight="1">
      <c r="D466" s="640"/>
      <c r="E466" s="640"/>
      <c r="F466" s="1"/>
      <c r="G466" s="1"/>
      <c r="H466" s="640"/>
      <c r="I466" s="1"/>
    </row>
    <row r="467" spans="4:9" ht="20.25" customHeight="1">
      <c r="D467" s="640"/>
      <c r="E467" s="640"/>
      <c r="F467" s="1"/>
      <c r="G467" s="1"/>
      <c r="H467" s="640"/>
      <c r="I467" s="1"/>
    </row>
    <row r="468" spans="4:9" ht="20.25" customHeight="1">
      <c r="D468" s="640"/>
      <c r="E468" s="640"/>
      <c r="F468" s="1"/>
      <c r="G468" s="1"/>
      <c r="H468" s="640"/>
      <c r="I468" s="1"/>
    </row>
    <row r="469" spans="4:9" ht="20.25" customHeight="1">
      <c r="D469" s="640"/>
      <c r="E469" s="640"/>
      <c r="F469" s="1"/>
      <c r="G469" s="1"/>
      <c r="H469" s="640"/>
      <c r="I469" s="1"/>
    </row>
    <row r="470" spans="4:9" ht="20.25" customHeight="1">
      <c r="D470" s="640"/>
      <c r="E470" s="640"/>
      <c r="F470" s="1"/>
      <c r="G470" s="1"/>
      <c r="H470" s="640"/>
      <c r="I470" s="1"/>
    </row>
    <row r="471" spans="4:9" ht="20.25" customHeight="1">
      <c r="D471" s="640"/>
      <c r="E471" s="640"/>
      <c r="F471" s="1"/>
      <c r="G471" s="1"/>
      <c r="H471" s="640"/>
      <c r="I471" s="1"/>
    </row>
    <row r="472" spans="4:9" ht="20.25" customHeight="1">
      <c r="D472" s="640"/>
      <c r="E472" s="640"/>
      <c r="F472" s="1"/>
      <c r="G472" s="1"/>
      <c r="H472" s="640"/>
      <c r="I472" s="1"/>
    </row>
    <row r="473" spans="4:9" ht="20.25" customHeight="1">
      <c r="D473" s="640"/>
      <c r="E473" s="640"/>
      <c r="F473" s="1"/>
      <c r="G473" s="1"/>
      <c r="H473" s="640"/>
      <c r="I473" s="1"/>
    </row>
    <row r="474" spans="4:9" ht="20.25" customHeight="1">
      <c r="D474" s="640"/>
      <c r="E474" s="640"/>
      <c r="F474" s="1"/>
      <c r="G474" s="1"/>
      <c r="H474" s="640"/>
      <c r="I474" s="1"/>
    </row>
    <row r="475" spans="4:9" ht="20.25" customHeight="1">
      <c r="D475" s="640"/>
      <c r="E475" s="640"/>
      <c r="F475" s="1"/>
      <c r="G475" s="1"/>
      <c r="H475" s="640"/>
      <c r="I475" s="1"/>
    </row>
    <row r="476" spans="4:9" ht="20.25" customHeight="1">
      <c r="D476" s="640"/>
      <c r="E476" s="640"/>
      <c r="F476" s="1"/>
      <c r="G476" s="1"/>
      <c r="H476" s="640"/>
      <c r="I476" s="1"/>
    </row>
    <row r="477" spans="4:9" ht="20.25" customHeight="1">
      <c r="D477" s="640"/>
      <c r="E477" s="640"/>
      <c r="F477" s="1"/>
      <c r="G477" s="1"/>
      <c r="H477" s="640"/>
      <c r="I477" s="1"/>
    </row>
    <row r="478" spans="4:9" ht="20.25" customHeight="1">
      <c r="D478" s="640"/>
      <c r="E478" s="640"/>
      <c r="F478" s="1"/>
      <c r="G478" s="1"/>
      <c r="H478" s="640"/>
      <c r="I478" s="1"/>
    </row>
    <row r="479" spans="4:9" ht="20.25" customHeight="1">
      <c r="D479" s="640"/>
      <c r="E479" s="640"/>
      <c r="F479" s="1"/>
      <c r="G479" s="1"/>
      <c r="H479" s="640"/>
      <c r="I479" s="1"/>
    </row>
    <row r="480" spans="4:9" ht="20.25" customHeight="1">
      <c r="D480" s="640"/>
      <c r="E480" s="640"/>
      <c r="F480" s="1"/>
      <c r="G480" s="1"/>
      <c r="H480" s="640"/>
      <c r="I480" s="1"/>
    </row>
    <row r="481" spans="4:9" ht="20.25" customHeight="1">
      <c r="D481" s="640"/>
      <c r="E481" s="640"/>
      <c r="F481" s="1"/>
      <c r="G481" s="1"/>
      <c r="H481" s="640"/>
      <c r="I481" s="1"/>
    </row>
    <row r="482" spans="4:9" ht="20.25" customHeight="1">
      <c r="D482" s="640"/>
      <c r="E482" s="640"/>
      <c r="F482" s="1"/>
      <c r="G482" s="1"/>
      <c r="H482" s="640"/>
      <c r="I482" s="1"/>
    </row>
    <row r="483" spans="4:9" ht="20.25" customHeight="1">
      <c r="D483" s="640"/>
      <c r="E483" s="640"/>
      <c r="F483" s="1"/>
      <c r="G483" s="1"/>
      <c r="H483" s="640"/>
      <c r="I483" s="1"/>
    </row>
    <row r="484" spans="4:9" ht="20.25" customHeight="1">
      <c r="D484" s="640"/>
      <c r="E484" s="640"/>
      <c r="F484" s="1"/>
      <c r="G484" s="1"/>
      <c r="H484" s="640"/>
      <c r="I484" s="1"/>
    </row>
    <row r="485" spans="4:9" ht="20.25" customHeight="1">
      <c r="D485" s="640"/>
      <c r="E485" s="640"/>
      <c r="F485" s="1"/>
      <c r="G485" s="1"/>
      <c r="H485" s="640"/>
      <c r="I485" s="1"/>
    </row>
    <row r="486" spans="4:9" ht="20.25" customHeight="1">
      <c r="D486" s="640"/>
      <c r="E486" s="640"/>
      <c r="F486" s="1"/>
      <c r="G486" s="1"/>
      <c r="H486" s="640"/>
      <c r="I486" s="1"/>
    </row>
    <row r="487" spans="4:9" ht="20.25" customHeight="1">
      <c r="D487" s="640"/>
      <c r="E487" s="640"/>
      <c r="F487" s="1"/>
      <c r="G487" s="1"/>
      <c r="H487" s="640"/>
      <c r="I487" s="1"/>
    </row>
    <row r="488" spans="4:9" ht="20.25" customHeight="1">
      <c r="D488" s="640"/>
      <c r="E488" s="640"/>
      <c r="F488" s="1"/>
      <c r="G488" s="1"/>
      <c r="H488" s="640"/>
      <c r="I488" s="1"/>
    </row>
    <row r="489" spans="4:9" ht="20.25" customHeight="1">
      <c r="D489" s="640"/>
      <c r="E489" s="640"/>
      <c r="F489" s="1"/>
      <c r="G489" s="1"/>
      <c r="H489" s="640"/>
      <c r="I489" s="1"/>
    </row>
    <row r="490" spans="4:9" ht="20.25" customHeight="1">
      <c r="D490" s="640"/>
      <c r="E490" s="640"/>
      <c r="F490" s="1"/>
      <c r="G490" s="1"/>
      <c r="H490" s="640"/>
      <c r="I490" s="1"/>
    </row>
    <row r="491" spans="4:9" ht="20.25" customHeight="1">
      <c r="D491" s="640"/>
      <c r="E491" s="640"/>
      <c r="F491" s="1"/>
      <c r="G491" s="1"/>
      <c r="H491" s="640"/>
      <c r="I491" s="1"/>
    </row>
    <row r="492" spans="4:9" ht="20.25" customHeight="1">
      <c r="D492" s="640"/>
      <c r="E492" s="640"/>
      <c r="F492" s="1"/>
      <c r="G492" s="1"/>
      <c r="H492" s="640"/>
      <c r="I492" s="1"/>
    </row>
    <row r="493" spans="4:9" ht="20.25" customHeight="1">
      <c r="D493" s="640"/>
      <c r="E493" s="640"/>
      <c r="F493" s="1"/>
      <c r="G493" s="1"/>
      <c r="H493" s="640"/>
      <c r="I493" s="1"/>
    </row>
    <row r="494" spans="4:9" ht="20.25" customHeight="1">
      <c r="D494" s="640"/>
      <c r="E494" s="640"/>
      <c r="F494" s="1"/>
      <c r="G494" s="1"/>
      <c r="H494" s="640"/>
      <c r="I494" s="1"/>
    </row>
    <row r="495" spans="4:9" ht="20.25" customHeight="1">
      <c r="D495" s="640"/>
      <c r="E495" s="640"/>
      <c r="F495" s="1"/>
      <c r="G495" s="1"/>
      <c r="H495" s="640"/>
      <c r="I495" s="1"/>
    </row>
    <row r="496" spans="4:9" ht="20.25" customHeight="1">
      <c r="D496" s="640"/>
      <c r="E496" s="640"/>
      <c r="F496" s="1"/>
      <c r="G496" s="1"/>
      <c r="H496" s="640"/>
      <c r="I496" s="1"/>
    </row>
    <row r="497" spans="4:9" ht="20.25" customHeight="1">
      <c r="D497" s="640"/>
      <c r="E497" s="640"/>
      <c r="F497" s="1"/>
      <c r="G497" s="1"/>
      <c r="H497" s="640"/>
      <c r="I497" s="1"/>
    </row>
    <row r="498" spans="4:9" ht="20.25" customHeight="1">
      <c r="D498" s="640"/>
      <c r="E498" s="640"/>
      <c r="F498" s="1"/>
      <c r="G498" s="1"/>
      <c r="H498" s="640"/>
      <c r="I498" s="1"/>
    </row>
    <row r="499" spans="4:9" ht="20.25" customHeight="1">
      <c r="D499" s="640"/>
      <c r="E499" s="640"/>
      <c r="F499" s="1"/>
      <c r="G499" s="1"/>
      <c r="H499" s="640"/>
      <c r="I499" s="1"/>
    </row>
    <row r="500" spans="4:9" ht="20.25" customHeight="1">
      <c r="D500" s="640"/>
      <c r="E500" s="640"/>
      <c r="F500" s="1"/>
      <c r="G500" s="1"/>
      <c r="H500" s="640"/>
      <c r="I500" s="1"/>
    </row>
    <row r="501" spans="4:9" ht="20.25" customHeight="1">
      <c r="D501" s="640"/>
      <c r="E501" s="640"/>
      <c r="F501" s="1"/>
      <c r="G501" s="1"/>
      <c r="H501" s="640"/>
      <c r="I501" s="1"/>
    </row>
    <row r="502" spans="4:9" ht="20.25" customHeight="1">
      <c r="D502" s="640"/>
      <c r="E502" s="640"/>
      <c r="F502" s="1"/>
      <c r="G502" s="1"/>
      <c r="H502" s="640"/>
      <c r="I502" s="1"/>
    </row>
    <row r="503" spans="4:9" ht="20.25" customHeight="1">
      <c r="D503" s="640"/>
      <c r="E503" s="640"/>
      <c r="F503" s="1"/>
      <c r="G503" s="1"/>
      <c r="H503" s="640"/>
      <c r="I503" s="1"/>
    </row>
    <row r="504" spans="4:9" ht="20.25" customHeight="1">
      <c r="D504" s="640"/>
      <c r="E504" s="640"/>
      <c r="F504" s="1"/>
      <c r="G504" s="1"/>
      <c r="H504" s="640"/>
      <c r="I504" s="1"/>
    </row>
    <row r="505" spans="4:9" ht="20.25" customHeight="1">
      <c r="D505" s="640"/>
      <c r="E505" s="640"/>
      <c r="F505" s="1"/>
      <c r="G505" s="1"/>
      <c r="H505" s="640"/>
      <c r="I505" s="1"/>
    </row>
    <row r="506" spans="4:9" ht="20.25" customHeight="1">
      <c r="D506" s="640"/>
      <c r="E506" s="640"/>
      <c r="F506" s="1"/>
      <c r="G506" s="1"/>
      <c r="H506" s="640"/>
      <c r="I506" s="1"/>
    </row>
    <row r="507" spans="4:9" ht="20.25" customHeight="1">
      <c r="D507" s="640"/>
      <c r="E507" s="640"/>
      <c r="F507" s="1"/>
      <c r="G507" s="1"/>
      <c r="H507" s="640"/>
      <c r="I507" s="1"/>
    </row>
    <row r="508" spans="4:9" ht="20.25" customHeight="1">
      <c r="D508" s="640"/>
      <c r="E508" s="640"/>
      <c r="F508" s="1"/>
      <c r="G508" s="1"/>
      <c r="H508" s="640"/>
      <c r="I508" s="1"/>
    </row>
    <row r="509" spans="4:9" ht="20.25" customHeight="1">
      <c r="D509" s="640"/>
      <c r="E509" s="640"/>
      <c r="F509" s="1"/>
      <c r="G509" s="1"/>
      <c r="H509" s="640"/>
      <c r="I509" s="1"/>
    </row>
    <row r="510" spans="4:9" ht="20.25" customHeight="1">
      <c r="D510" s="640"/>
      <c r="E510" s="640"/>
      <c r="F510" s="1"/>
      <c r="G510" s="1"/>
      <c r="H510" s="640"/>
      <c r="I510" s="1"/>
    </row>
    <row r="511" spans="4:9" ht="20.25" customHeight="1">
      <c r="D511" s="640"/>
      <c r="E511" s="640"/>
      <c r="F511" s="1"/>
      <c r="G511" s="1"/>
      <c r="H511" s="640"/>
      <c r="I511" s="1"/>
    </row>
    <row r="512" spans="4:9" ht="20.25" customHeight="1">
      <c r="D512" s="640"/>
      <c r="E512" s="640"/>
      <c r="F512" s="1"/>
      <c r="G512" s="1"/>
      <c r="H512" s="640"/>
      <c r="I512" s="1"/>
    </row>
    <row r="513" spans="4:9" ht="20.25" customHeight="1">
      <c r="D513" s="640"/>
      <c r="E513" s="640"/>
      <c r="F513" s="1"/>
      <c r="G513" s="1"/>
      <c r="H513" s="640"/>
      <c r="I513" s="1"/>
    </row>
    <row r="514" spans="4:9" ht="20.25" customHeight="1">
      <c r="D514" s="640"/>
      <c r="E514" s="640"/>
      <c r="F514" s="1"/>
      <c r="G514" s="1"/>
      <c r="H514" s="640"/>
      <c r="I514" s="1"/>
    </row>
    <row r="515" spans="4:9" ht="20.25" customHeight="1">
      <c r="D515" s="640"/>
      <c r="E515" s="640"/>
      <c r="F515" s="1"/>
      <c r="G515" s="1"/>
      <c r="H515" s="640"/>
      <c r="I515" s="1"/>
    </row>
    <row r="516" spans="4:9" ht="20.25" customHeight="1">
      <c r="D516" s="640"/>
      <c r="E516" s="640"/>
      <c r="F516" s="1"/>
      <c r="G516" s="1"/>
      <c r="H516" s="640"/>
      <c r="I516" s="1"/>
    </row>
    <row r="517" spans="4:9" ht="20.25" customHeight="1">
      <c r="D517" s="640"/>
      <c r="E517" s="640"/>
      <c r="F517" s="1"/>
      <c r="G517" s="1"/>
      <c r="H517" s="640"/>
      <c r="I517" s="1"/>
    </row>
    <row r="518" spans="4:9" ht="20.25" customHeight="1">
      <c r="D518" s="640"/>
      <c r="E518" s="640"/>
      <c r="F518" s="1"/>
      <c r="G518" s="1"/>
      <c r="H518" s="640"/>
      <c r="I518" s="1"/>
    </row>
    <row r="519" spans="4:9" ht="20.25" customHeight="1">
      <c r="D519" s="640"/>
      <c r="E519" s="640"/>
      <c r="F519" s="1"/>
      <c r="G519" s="1"/>
      <c r="H519" s="640"/>
      <c r="I519" s="1"/>
    </row>
    <row r="520" spans="4:9" ht="20.25" customHeight="1">
      <c r="D520" s="640"/>
      <c r="E520" s="640"/>
      <c r="F520" s="1"/>
      <c r="G520" s="1"/>
      <c r="H520" s="640"/>
      <c r="I520" s="1"/>
    </row>
    <row r="521" spans="4:9" ht="20.25" customHeight="1">
      <c r="D521" s="640"/>
      <c r="E521" s="640"/>
      <c r="F521" s="1"/>
      <c r="G521" s="1"/>
      <c r="H521" s="640"/>
      <c r="I521" s="1"/>
    </row>
    <row r="522" spans="4:9" ht="20.25" customHeight="1">
      <c r="D522" s="640"/>
      <c r="E522" s="640"/>
      <c r="F522" s="1"/>
      <c r="G522" s="1"/>
      <c r="H522" s="640"/>
      <c r="I522" s="1"/>
    </row>
    <row r="523" spans="4:9" ht="20.25" customHeight="1">
      <c r="D523" s="640"/>
      <c r="E523" s="640"/>
      <c r="F523" s="1"/>
      <c r="G523" s="1"/>
      <c r="H523" s="640"/>
      <c r="I523" s="1"/>
    </row>
    <row r="524" spans="4:9" ht="20.25" customHeight="1">
      <c r="D524" s="640"/>
      <c r="E524" s="640"/>
      <c r="F524" s="1"/>
      <c r="G524" s="1"/>
      <c r="H524" s="640"/>
      <c r="I524" s="1"/>
    </row>
    <row r="525" spans="4:9" ht="20.25" customHeight="1">
      <c r="D525" s="640"/>
      <c r="E525" s="640"/>
      <c r="F525" s="1"/>
      <c r="G525" s="1"/>
      <c r="H525" s="640"/>
      <c r="I525" s="1"/>
    </row>
    <row r="526" spans="4:9" ht="20.25" customHeight="1">
      <c r="D526" s="640"/>
      <c r="E526" s="640"/>
      <c r="F526" s="1"/>
      <c r="G526" s="1"/>
      <c r="H526" s="640"/>
      <c r="I526" s="1"/>
    </row>
    <row r="527" spans="4:9" ht="20.25" customHeight="1">
      <c r="D527" s="640"/>
      <c r="E527" s="640"/>
      <c r="F527" s="1"/>
      <c r="G527" s="1"/>
      <c r="H527" s="640"/>
      <c r="I527" s="1"/>
    </row>
    <row r="528" spans="4:9" ht="20.25" customHeight="1">
      <c r="D528" s="640"/>
      <c r="E528" s="640"/>
      <c r="F528" s="1"/>
      <c r="G528" s="1"/>
      <c r="H528" s="640"/>
      <c r="I528" s="1"/>
    </row>
    <row r="529" spans="4:9" ht="20.25" customHeight="1">
      <c r="D529" s="640"/>
      <c r="E529" s="640"/>
      <c r="F529" s="1"/>
      <c r="G529" s="1"/>
      <c r="H529" s="640"/>
      <c r="I529" s="1"/>
    </row>
    <row r="530" spans="4:9" ht="20.25" customHeight="1">
      <c r="D530" s="640"/>
      <c r="E530" s="640"/>
      <c r="F530" s="1"/>
      <c r="G530" s="1"/>
      <c r="H530" s="640"/>
      <c r="I530" s="1"/>
    </row>
    <row r="531" spans="4:9" ht="20.25" customHeight="1">
      <c r="D531" s="640"/>
      <c r="E531" s="640"/>
      <c r="F531" s="1"/>
      <c r="G531" s="1"/>
      <c r="H531" s="640"/>
      <c r="I531" s="1"/>
    </row>
    <row r="532" spans="4:9" ht="20.25" customHeight="1">
      <c r="D532" s="640"/>
      <c r="E532" s="640"/>
      <c r="F532" s="1"/>
      <c r="G532" s="1"/>
      <c r="H532" s="640"/>
      <c r="I532" s="1"/>
    </row>
    <row r="533" spans="4:9" ht="20.25" customHeight="1">
      <c r="D533" s="640"/>
      <c r="E533" s="640"/>
      <c r="F533" s="1"/>
      <c r="G533" s="1"/>
      <c r="H533" s="640"/>
      <c r="I533" s="1"/>
    </row>
    <row r="534" spans="4:9" ht="20.25" customHeight="1">
      <c r="D534" s="640"/>
      <c r="E534" s="640"/>
      <c r="F534" s="1"/>
      <c r="G534" s="1"/>
      <c r="H534" s="640"/>
      <c r="I534" s="1"/>
    </row>
    <row r="535" spans="4:9" ht="20.25" customHeight="1">
      <c r="D535" s="640"/>
      <c r="E535" s="640"/>
      <c r="F535" s="1"/>
      <c r="G535" s="1"/>
      <c r="H535" s="640"/>
      <c r="I535" s="1"/>
    </row>
    <row r="536" spans="4:9" ht="20.25" customHeight="1">
      <c r="D536" s="640"/>
      <c r="E536" s="640"/>
      <c r="F536" s="1"/>
      <c r="G536" s="1"/>
      <c r="H536" s="640"/>
      <c r="I536" s="1"/>
    </row>
    <row r="537" spans="4:9" ht="20.25" customHeight="1">
      <c r="D537" s="640"/>
      <c r="E537" s="640"/>
      <c r="F537" s="1"/>
      <c r="G537" s="1"/>
      <c r="H537" s="640"/>
      <c r="I537" s="1"/>
    </row>
    <row r="538" spans="4:9" ht="20.25" customHeight="1">
      <c r="D538" s="640"/>
      <c r="E538" s="640"/>
      <c r="F538" s="1"/>
      <c r="G538" s="1"/>
      <c r="H538" s="640"/>
      <c r="I538" s="1"/>
    </row>
    <row r="539" spans="4:9" ht="20.25" customHeight="1">
      <c r="D539" s="640"/>
      <c r="E539" s="640"/>
      <c r="F539" s="1"/>
      <c r="G539" s="1"/>
      <c r="H539" s="640"/>
      <c r="I539" s="1"/>
    </row>
    <row r="540" spans="4:9" ht="20.25" customHeight="1">
      <c r="D540" s="640"/>
      <c r="E540" s="640"/>
      <c r="F540" s="1"/>
      <c r="G540" s="1"/>
      <c r="H540" s="640"/>
      <c r="I540" s="1"/>
    </row>
    <row r="541" spans="4:9" ht="20.25" customHeight="1">
      <c r="D541" s="640"/>
      <c r="E541" s="640"/>
      <c r="F541" s="1"/>
      <c r="G541" s="1"/>
      <c r="H541" s="640"/>
      <c r="I541" s="1"/>
    </row>
    <row r="542" spans="4:9" ht="20.25" customHeight="1">
      <c r="D542" s="640"/>
      <c r="E542" s="640"/>
      <c r="F542" s="1"/>
      <c r="G542" s="1"/>
      <c r="H542" s="640"/>
      <c r="I542" s="1"/>
    </row>
    <row r="543" spans="4:9" ht="20.25" customHeight="1">
      <c r="D543" s="640"/>
      <c r="E543" s="640"/>
      <c r="F543" s="1"/>
      <c r="G543" s="1"/>
      <c r="H543" s="640"/>
      <c r="I543" s="1"/>
    </row>
    <row r="544" spans="4:9" ht="20.25" customHeight="1">
      <c r="D544" s="640"/>
      <c r="E544" s="640"/>
      <c r="F544" s="1"/>
      <c r="G544" s="1"/>
      <c r="H544" s="640"/>
      <c r="I544" s="1"/>
    </row>
    <row r="545" spans="4:9" ht="20.25" customHeight="1">
      <c r="D545" s="640"/>
      <c r="E545" s="640"/>
      <c r="F545" s="1"/>
      <c r="G545" s="1"/>
      <c r="H545" s="640"/>
      <c r="I545" s="1"/>
    </row>
    <row r="546" spans="4:9" ht="20.25" customHeight="1">
      <c r="D546" s="640"/>
      <c r="E546" s="640"/>
      <c r="F546" s="1"/>
      <c r="G546" s="1"/>
      <c r="H546" s="640"/>
      <c r="I546" s="1"/>
    </row>
    <row r="547" spans="4:9" ht="20.25" customHeight="1">
      <c r="D547" s="640"/>
      <c r="E547" s="640"/>
      <c r="F547" s="1"/>
      <c r="G547" s="1"/>
      <c r="H547" s="640"/>
      <c r="I547" s="1"/>
    </row>
    <row r="548" spans="4:9" ht="20.25" customHeight="1">
      <c r="D548" s="640"/>
      <c r="E548" s="640"/>
      <c r="F548" s="1"/>
      <c r="G548" s="1"/>
      <c r="H548" s="640"/>
      <c r="I548" s="1"/>
    </row>
    <row r="549" spans="4:9" ht="20.25" customHeight="1">
      <c r="D549" s="640"/>
      <c r="E549" s="640"/>
      <c r="F549" s="1"/>
      <c r="G549" s="1"/>
      <c r="H549" s="640"/>
      <c r="I549" s="1"/>
    </row>
    <row r="550" spans="4:9" ht="20.25" customHeight="1">
      <c r="D550" s="640"/>
      <c r="E550" s="640"/>
      <c r="F550" s="1"/>
      <c r="G550" s="1"/>
      <c r="H550" s="640"/>
      <c r="I550" s="1"/>
    </row>
    <row r="551" spans="4:9" ht="20.25" customHeight="1">
      <c r="D551" s="640"/>
      <c r="E551" s="640"/>
      <c r="F551" s="1"/>
      <c r="G551" s="1"/>
      <c r="H551" s="640"/>
      <c r="I551" s="1"/>
    </row>
    <row r="552" spans="4:9" ht="20.25" customHeight="1">
      <c r="D552" s="640"/>
      <c r="E552" s="640"/>
      <c r="F552" s="1"/>
      <c r="G552" s="1"/>
      <c r="H552" s="640"/>
      <c r="I552" s="1"/>
    </row>
    <row r="553" spans="4:9" ht="20.25" customHeight="1">
      <c r="D553" s="640"/>
      <c r="E553" s="640"/>
      <c r="F553" s="1"/>
      <c r="G553" s="1"/>
      <c r="H553" s="640"/>
      <c r="I553" s="1"/>
    </row>
    <row r="554" spans="4:9" ht="20.25" customHeight="1">
      <c r="D554" s="640"/>
      <c r="E554" s="640"/>
      <c r="F554" s="1"/>
      <c r="G554" s="1"/>
      <c r="H554" s="640"/>
      <c r="I554" s="1"/>
    </row>
    <row r="555" spans="4:9" ht="20.25" customHeight="1">
      <c r="D555" s="640"/>
      <c r="E555" s="640"/>
      <c r="F555" s="1"/>
      <c r="G555" s="1"/>
      <c r="H555" s="640"/>
      <c r="I555" s="1"/>
    </row>
    <row r="556" spans="4:9" ht="20.25" customHeight="1">
      <c r="D556" s="640"/>
      <c r="E556" s="640"/>
      <c r="F556" s="1"/>
      <c r="G556" s="1"/>
      <c r="H556" s="640"/>
      <c r="I556" s="1"/>
    </row>
    <row r="557" spans="4:9" ht="20.25" customHeight="1">
      <c r="D557" s="640"/>
      <c r="E557" s="640"/>
      <c r="F557" s="1"/>
      <c r="G557" s="1"/>
      <c r="H557" s="640"/>
      <c r="I557" s="1"/>
    </row>
    <row r="558" spans="4:9" ht="20.25" customHeight="1">
      <c r="D558" s="640"/>
      <c r="E558" s="640"/>
      <c r="F558" s="1"/>
      <c r="G558" s="1"/>
      <c r="H558" s="640"/>
      <c r="I558" s="1"/>
    </row>
    <row r="559" spans="4:9" ht="20.25" customHeight="1">
      <c r="D559" s="640"/>
      <c r="E559" s="640"/>
      <c r="F559" s="1"/>
      <c r="G559" s="1"/>
      <c r="H559" s="640"/>
      <c r="I559" s="1"/>
    </row>
    <row r="560" spans="4:9" ht="20.25" customHeight="1">
      <c r="D560" s="640"/>
      <c r="E560" s="640"/>
      <c r="F560" s="1"/>
      <c r="G560" s="1"/>
      <c r="H560" s="640"/>
      <c r="I560" s="1"/>
    </row>
    <row r="561" spans="4:9" ht="20.25" customHeight="1">
      <c r="D561" s="640"/>
      <c r="E561" s="640"/>
      <c r="F561" s="1"/>
      <c r="G561" s="1"/>
      <c r="H561" s="640"/>
      <c r="I561" s="1"/>
    </row>
    <row r="562" spans="4:9" ht="20.25" customHeight="1">
      <c r="D562" s="640"/>
      <c r="E562" s="640"/>
      <c r="F562" s="1"/>
      <c r="G562" s="1"/>
      <c r="H562" s="640"/>
      <c r="I562" s="1"/>
    </row>
    <row r="563" spans="4:9" ht="20.25" customHeight="1">
      <c r="D563" s="640"/>
      <c r="E563" s="640"/>
      <c r="F563" s="1"/>
      <c r="G563" s="1"/>
      <c r="H563" s="640"/>
      <c r="I563" s="1"/>
    </row>
    <row r="564" spans="4:9" ht="20.25" customHeight="1">
      <c r="D564" s="640"/>
      <c r="E564" s="640"/>
      <c r="F564" s="1"/>
      <c r="G564" s="1"/>
      <c r="H564" s="640"/>
      <c r="I564" s="1"/>
    </row>
    <row r="565" spans="4:9" ht="20.25" customHeight="1">
      <c r="D565" s="640"/>
      <c r="E565" s="640"/>
      <c r="F565" s="1"/>
      <c r="G565" s="1"/>
      <c r="H565" s="640"/>
      <c r="I565" s="1"/>
    </row>
    <row r="566" spans="4:9" ht="20.25" customHeight="1">
      <c r="D566" s="640"/>
      <c r="E566" s="640"/>
      <c r="F566" s="1"/>
      <c r="G566" s="1"/>
      <c r="H566" s="640"/>
      <c r="I566" s="1"/>
    </row>
    <row r="567" spans="4:9" ht="20.25" customHeight="1">
      <c r="D567" s="640"/>
      <c r="E567" s="640"/>
      <c r="F567" s="1"/>
      <c r="G567" s="1"/>
      <c r="H567" s="640"/>
      <c r="I567" s="1"/>
    </row>
    <row r="568" spans="4:9" ht="20.25" customHeight="1">
      <c r="D568" s="640"/>
      <c r="E568" s="640"/>
      <c r="F568" s="1"/>
      <c r="G568" s="1"/>
      <c r="H568" s="640"/>
      <c r="I568" s="1"/>
    </row>
    <row r="569" spans="4:9" ht="20.25" customHeight="1">
      <c r="D569" s="640"/>
      <c r="E569" s="640"/>
      <c r="F569" s="1"/>
      <c r="G569" s="1"/>
      <c r="H569" s="640"/>
      <c r="I569" s="1"/>
    </row>
    <row r="570" spans="4:9" ht="20.25" customHeight="1">
      <c r="D570" s="640"/>
      <c r="E570" s="640"/>
      <c r="F570" s="1"/>
      <c r="G570" s="1"/>
      <c r="H570" s="640"/>
      <c r="I570" s="1"/>
    </row>
    <row r="571" spans="4:9" ht="20.25" customHeight="1">
      <c r="D571" s="640"/>
      <c r="E571" s="640"/>
      <c r="F571" s="1"/>
      <c r="G571" s="1"/>
      <c r="H571" s="640"/>
      <c r="I571" s="1"/>
    </row>
    <row r="572" spans="4:9" ht="20.25" customHeight="1">
      <c r="D572" s="640"/>
      <c r="E572" s="640"/>
      <c r="F572" s="1"/>
      <c r="G572" s="1"/>
      <c r="H572" s="640"/>
      <c r="I572" s="1"/>
    </row>
    <row r="573" spans="4:9" ht="20.25" customHeight="1">
      <c r="D573" s="640"/>
      <c r="E573" s="640"/>
      <c r="F573" s="1"/>
      <c r="G573" s="1"/>
      <c r="H573" s="640"/>
      <c r="I573" s="1"/>
    </row>
    <row r="574" spans="4:9" ht="20.25" customHeight="1">
      <c r="D574" s="640"/>
      <c r="E574" s="640"/>
      <c r="F574" s="1"/>
      <c r="G574" s="1"/>
      <c r="H574" s="640"/>
      <c r="I574" s="1"/>
    </row>
    <row r="575" spans="4:9" ht="20.25" customHeight="1">
      <c r="D575" s="640"/>
      <c r="E575" s="640"/>
      <c r="F575" s="1"/>
      <c r="G575" s="1"/>
      <c r="H575" s="640"/>
      <c r="I575" s="1"/>
    </row>
    <row r="576" spans="4:9" ht="20.25" customHeight="1">
      <c r="D576" s="640"/>
      <c r="E576" s="640"/>
      <c r="F576" s="1"/>
      <c r="G576" s="1"/>
      <c r="H576" s="640"/>
      <c r="I576" s="1"/>
    </row>
    <row r="577" spans="4:9" ht="20.25" customHeight="1">
      <c r="D577" s="640"/>
      <c r="E577" s="640"/>
      <c r="F577" s="1"/>
      <c r="G577" s="1"/>
      <c r="H577" s="640"/>
      <c r="I577" s="1"/>
    </row>
    <row r="578" spans="4:9" ht="20.25" customHeight="1">
      <c r="D578" s="640"/>
      <c r="E578" s="640"/>
      <c r="F578" s="1"/>
      <c r="G578" s="1"/>
      <c r="H578" s="640"/>
      <c r="I578" s="1"/>
    </row>
    <row r="579" spans="4:9" ht="20.25" customHeight="1">
      <c r="D579" s="640"/>
      <c r="E579" s="640"/>
      <c r="F579" s="1"/>
      <c r="G579" s="1"/>
      <c r="H579" s="640"/>
      <c r="I579" s="1"/>
    </row>
    <row r="580" spans="4:9" ht="20.25" customHeight="1">
      <c r="D580" s="640"/>
      <c r="E580" s="640"/>
      <c r="F580" s="1"/>
      <c r="G580" s="1"/>
      <c r="H580" s="640"/>
      <c r="I580" s="1"/>
    </row>
    <row r="581" spans="4:9" ht="20.25" customHeight="1">
      <c r="D581" s="640"/>
      <c r="E581" s="640"/>
      <c r="F581" s="1"/>
      <c r="G581" s="1"/>
      <c r="H581" s="640"/>
      <c r="I581" s="1"/>
    </row>
    <row r="582" spans="4:9" ht="20.25" customHeight="1">
      <c r="D582" s="640"/>
      <c r="E582" s="640"/>
      <c r="F582" s="1"/>
      <c r="G582" s="1"/>
      <c r="H582" s="640"/>
      <c r="I582" s="1"/>
    </row>
    <row r="583" spans="4:9" ht="20.25" customHeight="1">
      <c r="D583" s="640"/>
      <c r="E583" s="640"/>
      <c r="F583" s="1"/>
      <c r="G583" s="1"/>
      <c r="H583" s="640"/>
      <c r="I583" s="1"/>
    </row>
    <row r="584" spans="4:9" ht="20.25" customHeight="1">
      <c r="D584" s="640"/>
      <c r="E584" s="640"/>
      <c r="F584" s="1"/>
      <c r="G584" s="1"/>
      <c r="H584" s="640"/>
      <c r="I584" s="1"/>
    </row>
    <row r="585" spans="4:9" ht="20.25" customHeight="1">
      <c r="D585" s="640"/>
      <c r="E585" s="640"/>
      <c r="F585" s="1"/>
      <c r="G585" s="1"/>
      <c r="H585" s="640"/>
      <c r="I585" s="1"/>
    </row>
    <row r="586" spans="4:9" ht="20.25" customHeight="1">
      <c r="D586" s="640"/>
      <c r="E586" s="640"/>
      <c r="F586" s="1"/>
      <c r="G586" s="1"/>
      <c r="H586" s="640"/>
      <c r="I586" s="1"/>
    </row>
    <row r="587" spans="4:9" ht="20.25" customHeight="1">
      <c r="D587" s="640"/>
      <c r="E587" s="640"/>
      <c r="F587" s="1"/>
      <c r="G587" s="1"/>
      <c r="H587" s="640"/>
      <c r="I587" s="1"/>
    </row>
    <row r="588" spans="4:9" ht="20.25" customHeight="1">
      <c r="D588" s="640"/>
      <c r="E588" s="640"/>
      <c r="F588" s="1"/>
      <c r="G588" s="1"/>
      <c r="H588" s="640"/>
      <c r="I588" s="1"/>
    </row>
    <row r="589" spans="4:9" ht="20.25" customHeight="1">
      <c r="D589" s="640"/>
      <c r="E589" s="640"/>
      <c r="F589" s="1"/>
      <c r="G589" s="1"/>
      <c r="H589" s="640"/>
      <c r="I589" s="1"/>
    </row>
    <row r="590" spans="4:9" ht="20.25" customHeight="1">
      <c r="D590" s="640"/>
      <c r="E590" s="640"/>
      <c r="F590" s="1"/>
      <c r="G590" s="1"/>
      <c r="H590" s="640"/>
      <c r="I590" s="1"/>
    </row>
    <row r="591" spans="4:9" ht="20.25" customHeight="1">
      <c r="D591" s="640"/>
      <c r="E591" s="640"/>
      <c r="F591" s="1"/>
      <c r="G591" s="1"/>
      <c r="H591" s="640"/>
      <c r="I591" s="1"/>
    </row>
    <row r="592" spans="4:9" ht="20.25" customHeight="1">
      <c r="D592" s="640"/>
      <c r="E592" s="640"/>
      <c r="F592" s="1"/>
      <c r="G592" s="1"/>
      <c r="H592" s="640"/>
      <c r="I592" s="1"/>
    </row>
    <row r="593" spans="4:9" ht="20.25" customHeight="1">
      <c r="D593" s="640"/>
      <c r="E593" s="640"/>
      <c r="F593" s="1"/>
      <c r="G593" s="1"/>
      <c r="H593" s="640"/>
      <c r="I593" s="1"/>
    </row>
    <row r="594" spans="4:9" ht="20.25" customHeight="1">
      <c r="D594" s="640"/>
      <c r="E594" s="640"/>
      <c r="F594" s="1"/>
      <c r="G594" s="1"/>
      <c r="H594" s="640"/>
      <c r="I594" s="1"/>
    </row>
    <row r="595" spans="4:9" ht="20.25" customHeight="1">
      <c r="D595" s="640"/>
      <c r="E595" s="640"/>
      <c r="F595" s="1"/>
      <c r="G595" s="1"/>
      <c r="H595" s="640"/>
      <c r="I595" s="1"/>
    </row>
    <row r="596" spans="4:9" ht="20.25" customHeight="1">
      <c r="D596" s="640"/>
      <c r="E596" s="640"/>
      <c r="F596" s="1"/>
      <c r="G596" s="1"/>
      <c r="H596" s="640"/>
      <c r="I596" s="1"/>
    </row>
    <row r="597" spans="4:9" ht="20.25" customHeight="1">
      <c r="D597" s="640"/>
      <c r="E597" s="640"/>
      <c r="F597" s="1"/>
      <c r="G597" s="1"/>
      <c r="H597" s="640"/>
      <c r="I597" s="1"/>
    </row>
    <row r="598" spans="4:9" ht="20.25" customHeight="1">
      <c r="D598" s="640"/>
      <c r="E598" s="640"/>
      <c r="F598" s="1"/>
      <c r="G598" s="1"/>
      <c r="H598" s="640"/>
      <c r="I598" s="1"/>
    </row>
    <row r="599" spans="4:9" ht="20.25" customHeight="1">
      <c r="D599" s="640"/>
      <c r="E599" s="640"/>
      <c r="F599" s="1"/>
      <c r="G599" s="1"/>
      <c r="H599" s="640"/>
      <c r="I599" s="1"/>
    </row>
    <row r="600" spans="4:9" ht="20.25" customHeight="1">
      <c r="D600" s="640"/>
      <c r="E600" s="640"/>
      <c r="F600" s="1"/>
      <c r="G600" s="1"/>
      <c r="H600" s="640"/>
      <c r="I600" s="1"/>
    </row>
    <row r="601" spans="4:9" ht="20.25" customHeight="1">
      <c r="D601" s="640"/>
      <c r="E601" s="640"/>
      <c r="F601" s="1"/>
      <c r="G601" s="1"/>
      <c r="H601" s="640"/>
      <c r="I601" s="1"/>
    </row>
    <row r="602" spans="4:9" ht="20.25" customHeight="1">
      <c r="D602" s="640"/>
      <c r="E602" s="640"/>
      <c r="F602" s="1"/>
      <c r="G602" s="1"/>
      <c r="H602" s="640"/>
      <c r="I602" s="1"/>
    </row>
    <row r="603" spans="4:9" ht="20.25" customHeight="1">
      <c r="D603" s="640"/>
      <c r="E603" s="640"/>
      <c r="F603" s="1"/>
      <c r="G603" s="1"/>
      <c r="H603" s="640"/>
      <c r="I603" s="1"/>
    </row>
    <row r="604" spans="4:9" ht="20.25" customHeight="1">
      <c r="D604" s="640"/>
      <c r="E604" s="640"/>
      <c r="F604" s="1"/>
      <c r="G604" s="1"/>
      <c r="H604" s="640"/>
      <c r="I604" s="1"/>
    </row>
    <row r="605" spans="4:9" ht="20.25" customHeight="1">
      <c r="D605" s="640"/>
      <c r="E605" s="640"/>
      <c r="F605" s="1"/>
      <c r="G605" s="1"/>
      <c r="H605" s="640"/>
      <c r="I605" s="1"/>
    </row>
    <row r="606" spans="4:9" ht="20.25" customHeight="1">
      <c r="D606" s="640"/>
      <c r="E606" s="640"/>
      <c r="F606" s="1"/>
      <c r="G606" s="1"/>
      <c r="H606" s="640"/>
      <c r="I606" s="1"/>
    </row>
    <row r="607" spans="4:9" ht="20.25" customHeight="1">
      <c r="D607" s="640"/>
      <c r="E607" s="640"/>
      <c r="F607" s="1"/>
      <c r="G607" s="1"/>
      <c r="H607" s="640"/>
      <c r="I607" s="1"/>
    </row>
    <row r="608" spans="4:9" ht="20.25" customHeight="1">
      <c r="D608" s="640"/>
      <c r="E608" s="640"/>
      <c r="F608" s="1"/>
      <c r="G608" s="1"/>
      <c r="H608" s="640"/>
      <c r="I608" s="1"/>
    </row>
    <row r="609" spans="4:9" ht="20.25" customHeight="1">
      <c r="D609" s="640"/>
      <c r="E609" s="640"/>
      <c r="F609" s="1"/>
      <c r="G609" s="1"/>
      <c r="H609" s="640"/>
      <c r="I609" s="1"/>
    </row>
    <row r="610" spans="4:9" ht="20.25" customHeight="1">
      <c r="D610" s="640"/>
      <c r="E610" s="640"/>
      <c r="F610" s="1"/>
      <c r="G610" s="1"/>
      <c r="H610" s="640"/>
      <c r="I610" s="1"/>
    </row>
    <row r="611" spans="4:9" ht="20.25" customHeight="1">
      <c r="D611" s="640"/>
      <c r="E611" s="640"/>
      <c r="F611" s="1"/>
      <c r="G611" s="1"/>
      <c r="H611" s="640"/>
      <c r="I611" s="1"/>
    </row>
    <row r="612" spans="4:9" ht="20.25" customHeight="1">
      <c r="D612" s="640"/>
      <c r="E612" s="640"/>
      <c r="F612" s="1"/>
      <c r="G612" s="1"/>
      <c r="H612" s="640"/>
      <c r="I612" s="1"/>
    </row>
    <row r="613" spans="4:9" ht="20.25" customHeight="1">
      <c r="D613" s="640"/>
      <c r="E613" s="640"/>
      <c r="F613" s="1"/>
      <c r="G613" s="1"/>
      <c r="H613" s="640"/>
      <c r="I613" s="1"/>
    </row>
    <row r="614" spans="4:9" ht="20.25" customHeight="1">
      <c r="D614" s="640"/>
      <c r="E614" s="640"/>
      <c r="F614" s="1"/>
      <c r="G614" s="1"/>
      <c r="H614" s="640"/>
      <c r="I614" s="1"/>
    </row>
    <row r="615" spans="4:9" ht="20.25" customHeight="1">
      <c r="D615" s="640"/>
      <c r="E615" s="640"/>
      <c r="F615" s="1"/>
      <c r="G615" s="1"/>
      <c r="H615" s="640"/>
      <c r="I615" s="1"/>
    </row>
    <row r="616" spans="4:9" ht="20.25" customHeight="1">
      <c r="D616" s="640"/>
      <c r="E616" s="640"/>
      <c r="F616" s="1"/>
      <c r="G616" s="1"/>
      <c r="H616" s="640"/>
      <c r="I616" s="1"/>
    </row>
    <row r="617" spans="4:9" ht="20.25" customHeight="1">
      <c r="D617" s="640"/>
      <c r="E617" s="640"/>
      <c r="F617" s="1"/>
      <c r="G617" s="1"/>
      <c r="H617" s="640"/>
      <c r="I617" s="1"/>
    </row>
    <row r="618" spans="4:9" ht="20.25" customHeight="1">
      <c r="D618" s="640"/>
      <c r="E618" s="640"/>
      <c r="F618" s="1"/>
      <c r="G618" s="1"/>
      <c r="H618" s="640"/>
      <c r="I618" s="1"/>
    </row>
    <row r="619" spans="4:9" ht="20.25" customHeight="1">
      <c r="D619" s="640"/>
      <c r="E619" s="640"/>
      <c r="F619" s="1"/>
      <c r="G619" s="1"/>
      <c r="H619" s="640"/>
      <c r="I619" s="1"/>
    </row>
    <row r="620" spans="4:9" ht="20.25" customHeight="1">
      <c r="D620" s="640"/>
      <c r="E620" s="640"/>
      <c r="F620" s="1"/>
      <c r="G620" s="1"/>
      <c r="H620" s="640"/>
      <c r="I620" s="1"/>
    </row>
    <row r="621" spans="4:9" ht="20.25" customHeight="1">
      <c r="D621" s="640"/>
      <c r="E621" s="640"/>
      <c r="F621" s="1"/>
      <c r="G621" s="1"/>
      <c r="H621" s="640"/>
      <c r="I621" s="1"/>
    </row>
    <row r="622" spans="4:9" ht="20.25" customHeight="1">
      <c r="D622" s="640"/>
      <c r="E622" s="640"/>
      <c r="F622" s="1"/>
      <c r="G622" s="1"/>
      <c r="H622" s="640"/>
      <c r="I622" s="1"/>
    </row>
    <row r="623" spans="4:9" ht="20.25" customHeight="1">
      <c r="D623" s="640"/>
      <c r="E623" s="640"/>
      <c r="F623" s="1"/>
      <c r="G623" s="1"/>
      <c r="H623" s="640"/>
      <c r="I623" s="1"/>
    </row>
    <row r="624" spans="4:9" ht="20.25" customHeight="1">
      <c r="D624" s="640"/>
      <c r="E624" s="640"/>
      <c r="F624" s="1"/>
      <c r="G624" s="1"/>
      <c r="H624" s="640"/>
      <c r="I624" s="1"/>
    </row>
    <row r="625" spans="4:9" ht="20.25" customHeight="1">
      <c r="D625" s="640"/>
      <c r="E625" s="640"/>
      <c r="F625" s="1"/>
      <c r="G625" s="1"/>
      <c r="H625" s="640"/>
      <c r="I625" s="1"/>
    </row>
    <row r="626" spans="4:9" ht="20.25" customHeight="1">
      <c r="D626" s="640"/>
      <c r="E626" s="640"/>
      <c r="F626" s="1"/>
      <c r="G626" s="1"/>
      <c r="H626" s="640"/>
      <c r="I626" s="1"/>
    </row>
    <row r="627" spans="4:9" ht="20.25" customHeight="1">
      <c r="D627" s="640"/>
      <c r="E627" s="640"/>
      <c r="F627" s="1"/>
      <c r="G627" s="1"/>
      <c r="H627" s="640"/>
      <c r="I627" s="1"/>
    </row>
    <row r="628" spans="4:9" ht="20.25" customHeight="1">
      <c r="D628" s="640"/>
      <c r="E628" s="640"/>
      <c r="F628" s="1"/>
      <c r="G628" s="1"/>
      <c r="H628" s="640"/>
      <c r="I628" s="1"/>
    </row>
    <row r="629" spans="4:9" ht="20.25" customHeight="1">
      <c r="D629" s="640"/>
      <c r="E629" s="640"/>
      <c r="F629" s="1"/>
      <c r="G629" s="1"/>
      <c r="H629" s="640"/>
      <c r="I629" s="1"/>
    </row>
    <row r="630" spans="4:9" ht="20.25" customHeight="1">
      <c r="D630" s="640"/>
      <c r="E630" s="640"/>
      <c r="F630" s="1"/>
      <c r="G630" s="1"/>
      <c r="H630" s="640"/>
      <c r="I630" s="1"/>
    </row>
    <row r="631" spans="4:9" ht="20.25" customHeight="1">
      <c r="D631" s="640"/>
      <c r="E631" s="640"/>
      <c r="F631" s="1"/>
      <c r="G631" s="1"/>
      <c r="H631" s="640"/>
      <c r="I631" s="1"/>
    </row>
    <row r="632" spans="4:9" ht="20.25" customHeight="1">
      <c r="D632" s="640"/>
      <c r="E632" s="640"/>
      <c r="F632" s="1"/>
      <c r="G632" s="1"/>
      <c r="H632" s="640"/>
      <c r="I632" s="1"/>
    </row>
    <row r="633" spans="4:9" ht="20.25" customHeight="1">
      <c r="D633" s="640"/>
      <c r="E633" s="640"/>
      <c r="F633" s="1"/>
      <c r="G633" s="1"/>
      <c r="H633" s="640"/>
      <c r="I633" s="1"/>
    </row>
    <row r="634" spans="4:9" ht="20.25" customHeight="1">
      <c r="D634" s="640"/>
      <c r="E634" s="640"/>
      <c r="F634" s="1"/>
      <c r="G634" s="1"/>
      <c r="H634" s="640"/>
      <c r="I634" s="1"/>
    </row>
    <row r="635" spans="4:9" ht="20.25" customHeight="1">
      <c r="D635" s="640"/>
      <c r="E635" s="640"/>
      <c r="F635" s="1"/>
      <c r="G635" s="1"/>
      <c r="H635" s="640"/>
      <c r="I635" s="1"/>
    </row>
    <row r="636" spans="4:9" ht="20.25" customHeight="1">
      <c r="D636" s="640"/>
      <c r="E636" s="640"/>
      <c r="F636" s="1"/>
      <c r="G636" s="1"/>
      <c r="H636" s="640"/>
      <c r="I636" s="1"/>
    </row>
    <row r="637" spans="4:9" ht="20.25" customHeight="1">
      <c r="D637" s="640"/>
      <c r="E637" s="640"/>
      <c r="F637" s="1"/>
      <c r="G637" s="1"/>
      <c r="H637" s="640"/>
      <c r="I637" s="1"/>
    </row>
    <row r="638" spans="4:9" ht="20.25" customHeight="1">
      <c r="D638" s="640"/>
      <c r="E638" s="640"/>
      <c r="F638" s="1"/>
      <c r="G638" s="1"/>
      <c r="H638" s="640"/>
      <c r="I638" s="1"/>
    </row>
    <row r="639" spans="4:9" ht="20.25" customHeight="1">
      <c r="D639" s="640"/>
      <c r="E639" s="640"/>
      <c r="F639" s="1"/>
      <c r="G639" s="1"/>
      <c r="H639" s="640"/>
      <c r="I639" s="1"/>
    </row>
    <row r="640" spans="4:9" ht="20.25" customHeight="1">
      <c r="D640" s="640"/>
      <c r="E640" s="640"/>
      <c r="F640" s="1"/>
      <c r="G640" s="1"/>
      <c r="H640" s="640"/>
      <c r="I640" s="1"/>
    </row>
    <row r="641" spans="4:9" ht="20.25" customHeight="1">
      <c r="D641" s="640"/>
      <c r="E641" s="640"/>
      <c r="F641" s="1"/>
      <c r="G641" s="1"/>
      <c r="H641" s="640"/>
      <c r="I641" s="1"/>
    </row>
    <row r="642" spans="4:9" ht="20.25" customHeight="1">
      <c r="D642" s="640"/>
      <c r="E642" s="640"/>
      <c r="F642" s="1"/>
      <c r="G642" s="1"/>
      <c r="H642" s="640"/>
      <c r="I642" s="1"/>
    </row>
    <row r="643" spans="4:9" ht="20.25" customHeight="1">
      <c r="D643" s="640"/>
      <c r="E643" s="640"/>
      <c r="F643" s="1"/>
      <c r="G643" s="1"/>
      <c r="H643" s="640"/>
      <c r="I643" s="1"/>
    </row>
    <row r="644" spans="4:9" ht="20.25" customHeight="1">
      <c r="D644" s="640"/>
      <c r="E644" s="640"/>
      <c r="F644" s="1"/>
      <c r="G644" s="1"/>
      <c r="H644" s="640"/>
      <c r="I644" s="1"/>
    </row>
    <row r="645" spans="4:9" ht="20.25" customHeight="1">
      <c r="D645" s="640"/>
      <c r="E645" s="640"/>
      <c r="F645" s="1"/>
      <c r="G645" s="1"/>
      <c r="H645" s="640"/>
      <c r="I645" s="1"/>
    </row>
    <row r="646" spans="4:9" ht="20.25" customHeight="1">
      <c r="D646" s="640"/>
      <c r="E646" s="640"/>
      <c r="F646" s="1"/>
      <c r="G646" s="1"/>
      <c r="H646" s="640"/>
      <c r="I646" s="1"/>
    </row>
    <row r="647" spans="4:9" ht="20.25" customHeight="1">
      <c r="D647" s="640"/>
      <c r="E647" s="640"/>
      <c r="F647" s="1"/>
      <c r="G647" s="1"/>
      <c r="H647" s="640"/>
      <c r="I647" s="1"/>
    </row>
    <row r="648" spans="4:9" ht="20.25" customHeight="1">
      <c r="D648" s="640"/>
      <c r="E648" s="640"/>
      <c r="F648" s="1"/>
      <c r="G648" s="1"/>
      <c r="H648" s="640"/>
      <c r="I648" s="1"/>
    </row>
    <row r="649" spans="4:9" ht="20.25" customHeight="1">
      <c r="D649" s="640"/>
      <c r="E649" s="640"/>
      <c r="F649" s="1"/>
      <c r="G649" s="1"/>
      <c r="H649" s="640"/>
      <c r="I649" s="1"/>
    </row>
    <row r="650" spans="4:9" ht="20.25" customHeight="1">
      <c r="D650" s="640"/>
      <c r="E650" s="640"/>
      <c r="F650" s="1"/>
      <c r="G650" s="1"/>
      <c r="H650" s="640"/>
      <c r="I650" s="1"/>
    </row>
    <row r="651" spans="4:9" ht="20.25" customHeight="1">
      <c r="D651" s="640"/>
      <c r="E651" s="640"/>
      <c r="F651" s="1"/>
      <c r="G651" s="1"/>
      <c r="H651" s="640"/>
      <c r="I651" s="1"/>
    </row>
    <row r="652" spans="4:9" ht="20.25" customHeight="1">
      <c r="D652" s="640"/>
      <c r="E652" s="640"/>
      <c r="F652" s="1"/>
      <c r="G652" s="1"/>
      <c r="H652" s="640"/>
      <c r="I652" s="1"/>
    </row>
    <row r="653" spans="4:9" ht="20.25" customHeight="1">
      <c r="D653" s="640"/>
      <c r="E653" s="640"/>
      <c r="F653" s="1"/>
      <c r="G653" s="1"/>
      <c r="H653" s="640"/>
      <c r="I653" s="1"/>
    </row>
    <row r="654" spans="4:9" ht="20.25" customHeight="1">
      <c r="D654" s="640"/>
      <c r="E654" s="640"/>
      <c r="F654" s="1"/>
      <c r="G654" s="1"/>
      <c r="H654" s="640"/>
      <c r="I654" s="1"/>
    </row>
    <row r="655" spans="4:9" ht="20.25" customHeight="1">
      <c r="D655" s="640"/>
      <c r="E655" s="640"/>
      <c r="F655" s="1"/>
      <c r="G655" s="1"/>
      <c r="H655" s="640"/>
      <c r="I655" s="1"/>
    </row>
    <row r="656" spans="4:9" ht="20.25" customHeight="1">
      <c r="D656" s="640"/>
      <c r="E656" s="640"/>
      <c r="F656" s="1"/>
      <c r="G656" s="1"/>
      <c r="H656" s="640"/>
      <c r="I656" s="1"/>
    </row>
    <row r="657" spans="4:9" ht="20.25" customHeight="1">
      <c r="D657" s="640"/>
      <c r="E657" s="640"/>
      <c r="F657" s="1"/>
      <c r="G657" s="1"/>
      <c r="H657" s="640"/>
      <c r="I657" s="1"/>
    </row>
    <row r="658" spans="4:9" ht="20.25" customHeight="1">
      <c r="D658" s="640"/>
      <c r="E658" s="640"/>
      <c r="F658" s="1"/>
      <c r="G658" s="1"/>
      <c r="H658" s="640"/>
      <c r="I658" s="1"/>
    </row>
    <row r="659" spans="4:9" ht="20.25" customHeight="1">
      <c r="D659" s="640"/>
      <c r="E659" s="640"/>
      <c r="F659" s="1"/>
      <c r="G659" s="1"/>
      <c r="H659" s="640"/>
      <c r="I659" s="1"/>
    </row>
    <row r="660" spans="4:9" ht="20.25" customHeight="1">
      <c r="D660" s="640"/>
      <c r="E660" s="640"/>
      <c r="F660" s="1"/>
      <c r="G660" s="1"/>
      <c r="H660" s="640"/>
      <c r="I660" s="1"/>
    </row>
    <row r="661" spans="4:9" ht="20.25" customHeight="1">
      <c r="D661" s="640"/>
      <c r="E661" s="640"/>
      <c r="F661" s="1"/>
      <c r="G661" s="1"/>
      <c r="H661" s="640"/>
      <c r="I661" s="1"/>
    </row>
    <row r="662" spans="4:9" ht="20.25" customHeight="1">
      <c r="D662" s="640"/>
      <c r="E662" s="640"/>
      <c r="F662" s="1"/>
      <c r="G662" s="1"/>
      <c r="H662" s="640"/>
      <c r="I662" s="1"/>
    </row>
    <row r="663" spans="4:9" ht="20.25" customHeight="1">
      <c r="D663" s="640"/>
      <c r="E663" s="640"/>
      <c r="F663" s="1"/>
      <c r="G663" s="1"/>
      <c r="H663" s="640"/>
      <c r="I663" s="1"/>
    </row>
    <row r="664" spans="4:9" ht="20.25" customHeight="1">
      <c r="D664" s="640"/>
      <c r="E664" s="640"/>
      <c r="F664" s="1"/>
      <c r="G664" s="1"/>
      <c r="H664" s="640"/>
      <c r="I664" s="1"/>
    </row>
    <row r="665" spans="4:9" ht="20.25" customHeight="1">
      <c r="D665" s="640"/>
      <c r="E665" s="640"/>
      <c r="F665" s="1"/>
      <c r="G665" s="1"/>
      <c r="H665" s="640"/>
      <c r="I665" s="1"/>
    </row>
    <row r="666" spans="4:9" ht="20.25" customHeight="1">
      <c r="D666" s="640"/>
      <c r="E666" s="640"/>
      <c r="F666" s="1"/>
      <c r="G666" s="1"/>
      <c r="H666" s="640"/>
      <c r="I666" s="1"/>
    </row>
    <row r="667" spans="4:9" ht="20.25" customHeight="1">
      <c r="D667" s="640"/>
      <c r="E667" s="640"/>
      <c r="F667" s="1"/>
      <c r="G667" s="1"/>
      <c r="H667" s="640"/>
      <c r="I667" s="1"/>
    </row>
    <row r="668" spans="4:9" ht="20.25" customHeight="1">
      <c r="D668" s="640"/>
      <c r="E668" s="640"/>
      <c r="F668" s="1"/>
      <c r="G668" s="1"/>
      <c r="H668" s="640"/>
      <c r="I668" s="1"/>
    </row>
    <row r="669" spans="4:9" ht="20.25" customHeight="1">
      <c r="D669" s="640"/>
      <c r="E669" s="640"/>
      <c r="F669" s="1"/>
      <c r="G669" s="1"/>
      <c r="H669" s="640"/>
      <c r="I669" s="1"/>
    </row>
    <row r="670" spans="4:9" ht="20.25" customHeight="1">
      <c r="D670" s="640"/>
      <c r="E670" s="640"/>
      <c r="F670" s="1"/>
      <c r="G670" s="1"/>
      <c r="H670" s="640"/>
      <c r="I670" s="1"/>
    </row>
    <row r="671" spans="4:9" ht="20.25" customHeight="1">
      <c r="D671" s="640"/>
      <c r="E671" s="640"/>
      <c r="F671" s="1"/>
      <c r="G671" s="1"/>
      <c r="H671" s="640"/>
      <c r="I671" s="1"/>
    </row>
    <row r="672" spans="4:9" ht="20.25" customHeight="1">
      <c r="D672" s="640"/>
      <c r="E672" s="640"/>
      <c r="F672" s="1"/>
      <c r="G672" s="1"/>
      <c r="H672" s="640"/>
      <c r="I672" s="1"/>
    </row>
    <row r="673" spans="4:9" ht="20.25" customHeight="1">
      <c r="D673" s="640"/>
      <c r="E673" s="640"/>
      <c r="F673" s="1"/>
      <c r="G673" s="1"/>
      <c r="H673" s="640"/>
      <c r="I673" s="1"/>
    </row>
    <row r="674" spans="4:9" ht="20.25" customHeight="1">
      <c r="D674" s="640"/>
      <c r="E674" s="640"/>
      <c r="F674" s="1"/>
      <c r="G674" s="1"/>
      <c r="H674" s="640"/>
      <c r="I674" s="1"/>
    </row>
    <row r="675" spans="4:9" ht="20.25" customHeight="1">
      <c r="D675" s="640"/>
      <c r="E675" s="640"/>
      <c r="F675" s="1"/>
      <c r="G675" s="1"/>
      <c r="H675" s="640"/>
      <c r="I675" s="1"/>
    </row>
    <row r="676" spans="4:9" ht="20.25" customHeight="1">
      <c r="D676" s="640"/>
      <c r="E676" s="640"/>
      <c r="F676" s="1"/>
      <c r="G676" s="1"/>
      <c r="H676" s="640"/>
      <c r="I676" s="1"/>
    </row>
    <row r="677" spans="4:9" ht="20.25" customHeight="1">
      <c r="D677" s="640"/>
      <c r="E677" s="640"/>
      <c r="F677" s="1"/>
      <c r="G677" s="1"/>
      <c r="H677" s="640"/>
      <c r="I677" s="1"/>
    </row>
    <row r="678" spans="4:9" ht="20.25" customHeight="1">
      <c r="D678" s="640"/>
      <c r="E678" s="640"/>
      <c r="F678" s="1"/>
      <c r="G678" s="1"/>
      <c r="H678" s="640"/>
      <c r="I678" s="1"/>
    </row>
    <row r="679" spans="4:9" ht="20.25" customHeight="1">
      <c r="D679" s="640"/>
      <c r="E679" s="640"/>
      <c r="F679" s="1"/>
      <c r="G679" s="1"/>
      <c r="H679" s="640"/>
      <c r="I679" s="1"/>
    </row>
    <row r="680" spans="4:9" ht="20.25" customHeight="1">
      <c r="D680" s="640"/>
      <c r="E680" s="640"/>
      <c r="F680" s="1"/>
      <c r="G680" s="1"/>
      <c r="H680" s="640"/>
      <c r="I680" s="1"/>
    </row>
    <row r="681" spans="4:9" ht="20.25" customHeight="1">
      <c r="D681" s="640"/>
      <c r="E681" s="640"/>
      <c r="F681" s="1"/>
      <c r="G681" s="1"/>
      <c r="H681" s="640"/>
      <c r="I681" s="1"/>
    </row>
    <row r="682" spans="4:9" ht="20.25" customHeight="1">
      <c r="D682" s="640"/>
      <c r="E682" s="640"/>
      <c r="F682" s="1"/>
      <c r="G682" s="1"/>
      <c r="H682" s="640"/>
      <c r="I682" s="1"/>
    </row>
    <row r="683" spans="4:9" ht="20.25" customHeight="1">
      <c r="D683" s="640"/>
      <c r="E683" s="640"/>
      <c r="F683" s="1"/>
      <c r="G683" s="1"/>
      <c r="H683" s="640"/>
      <c r="I683" s="1"/>
    </row>
    <row r="684" spans="4:9" ht="20.25" customHeight="1">
      <c r="D684" s="640"/>
      <c r="E684" s="640"/>
      <c r="F684" s="1"/>
      <c r="G684" s="1"/>
      <c r="H684" s="640"/>
      <c r="I684" s="1"/>
    </row>
    <row r="685" spans="4:9" ht="20.25" customHeight="1">
      <c r="D685" s="640"/>
      <c r="E685" s="640"/>
      <c r="F685" s="1"/>
      <c r="G685" s="1"/>
      <c r="H685" s="640"/>
      <c r="I685" s="1"/>
    </row>
    <row r="686" spans="4:9" ht="20.25" customHeight="1">
      <c r="D686" s="640"/>
      <c r="E686" s="640"/>
      <c r="F686" s="1"/>
      <c r="G686" s="1"/>
      <c r="H686" s="640"/>
      <c r="I686" s="1"/>
    </row>
    <row r="687" spans="4:9" ht="20.25" customHeight="1">
      <c r="D687" s="640"/>
      <c r="E687" s="640"/>
      <c r="F687" s="1"/>
      <c r="G687" s="1"/>
      <c r="H687" s="640"/>
      <c r="I687" s="1"/>
    </row>
    <row r="688" spans="4:9" ht="20.25" customHeight="1">
      <c r="D688" s="640"/>
      <c r="E688" s="640"/>
      <c r="F688" s="1"/>
      <c r="G688" s="1"/>
      <c r="H688" s="640"/>
      <c r="I688" s="1"/>
    </row>
    <row r="689" spans="4:9" ht="20.25" customHeight="1">
      <c r="D689" s="640"/>
      <c r="E689" s="640"/>
      <c r="F689" s="1"/>
      <c r="G689" s="1"/>
      <c r="H689" s="640"/>
      <c r="I689" s="1"/>
    </row>
    <row r="690" spans="4:9" ht="20.25" customHeight="1">
      <c r="D690" s="640"/>
      <c r="E690" s="640"/>
      <c r="F690" s="1"/>
      <c r="G690" s="1"/>
      <c r="H690" s="640"/>
      <c r="I690" s="1"/>
    </row>
    <row r="691" spans="4:9" ht="20.25" customHeight="1">
      <c r="D691" s="640"/>
      <c r="E691" s="640"/>
      <c r="F691" s="1"/>
      <c r="G691" s="1"/>
      <c r="H691" s="640"/>
      <c r="I691" s="1"/>
    </row>
    <row r="692" spans="4:9" ht="20.25" customHeight="1">
      <c r="D692" s="640"/>
      <c r="E692" s="640"/>
      <c r="F692" s="1"/>
      <c r="G692" s="1"/>
      <c r="H692" s="640"/>
      <c r="I692" s="1"/>
    </row>
    <row r="693" spans="4:9" ht="20.25" customHeight="1">
      <c r="D693" s="640"/>
      <c r="E693" s="640"/>
      <c r="F693" s="1"/>
      <c r="G693" s="1"/>
      <c r="H693" s="640"/>
      <c r="I693" s="1"/>
    </row>
    <row r="694" spans="4:9" ht="20.25" customHeight="1">
      <c r="D694" s="640"/>
      <c r="E694" s="640"/>
      <c r="F694" s="1"/>
      <c r="G694" s="1"/>
      <c r="H694" s="640"/>
      <c r="I694" s="1"/>
    </row>
    <row r="695" spans="4:9" ht="20.25" customHeight="1">
      <c r="D695" s="640"/>
      <c r="E695" s="640"/>
      <c r="F695" s="1"/>
      <c r="G695" s="1"/>
      <c r="H695" s="640"/>
      <c r="I695" s="1"/>
    </row>
    <row r="696" spans="4:9" ht="20.25" customHeight="1">
      <c r="D696" s="640"/>
      <c r="E696" s="640"/>
      <c r="F696" s="1"/>
      <c r="G696" s="1"/>
      <c r="H696" s="640"/>
      <c r="I696" s="1"/>
    </row>
    <row r="697" spans="4:9" ht="20.25" customHeight="1">
      <c r="D697" s="640"/>
      <c r="E697" s="640"/>
      <c r="F697" s="1"/>
      <c r="G697" s="1"/>
      <c r="H697" s="640"/>
      <c r="I697" s="1"/>
    </row>
    <row r="698" spans="4:9" ht="20.25" customHeight="1">
      <c r="D698" s="640"/>
      <c r="E698" s="640"/>
      <c r="F698" s="1"/>
      <c r="G698" s="1"/>
      <c r="H698" s="640"/>
      <c r="I698" s="1"/>
    </row>
    <row r="699" spans="4:9" ht="20.25" customHeight="1">
      <c r="D699" s="640"/>
      <c r="E699" s="640"/>
      <c r="F699" s="1"/>
      <c r="G699" s="1"/>
      <c r="H699" s="640"/>
      <c r="I699" s="1"/>
    </row>
    <row r="700" spans="4:9" ht="20.25" customHeight="1">
      <c r="D700" s="640"/>
      <c r="E700" s="640"/>
      <c r="F700" s="1"/>
      <c r="G700" s="1"/>
      <c r="H700" s="640"/>
      <c r="I700" s="1"/>
    </row>
    <row r="701" spans="4:9" ht="20.25" customHeight="1">
      <c r="D701" s="640"/>
      <c r="E701" s="640"/>
      <c r="F701" s="1"/>
      <c r="G701" s="1"/>
      <c r="H701" s="640"/>
      <c r="I701" s="1"/>
    </row>
    <row r="702" spans="4:9" ht="20.25" customHeight="1">
      <c r="D702" s="640"/>
      <c r="E702" s="640"/>
      <c r="F702" s="1"/>
      <c r="G702" s="1"/>
      <c r="H702" s="640"/>
      <c r="I702" s="1"/>
    </row>
    <row r="703" spans="4:9" ht="20.25" customHeight="1">
      <c r="D703" s="640"/>
      <c r="E703" s="640"/>
      <c r="F703" s="1"/>
      <c r="G703" s="1"/>
      <c r="H703" s="640"/>
      <c r="I703" s="1"/>
    </row>
    <row r="704" spans="4:9" ht="20.25" customHeight="1">
      <c r="D704" s="640"/>
      <c r="E704" s="640"/>
      <c r="F704" s="1"/>
      <c r="G704" s="1"/>
      <c r="H704" s="640"/>
      <c r="I704" s="1"/>
    </row>
    <row r="705" spans="4:9" ht="20.25" customHeight="1">
      <c r="D705" s="640"/>
      <c r="E705" s="640"/>
      <c r="F705" s="1"/>
      <c r="G705" s="1"/>
      <c r="H705" s="640"/>
      <c r="I705" s="1"/>
    </row>
    <row r="706" spans="4:9" ht="20.25" customHeight="1">
      <c r="D706" s="640"/>
      <c r="E706" s="640"/>
      <c r="F706" s="1"/>
      <c r="G706" s="1"/>
      <c r="H706" s="640"/>
      <c r="I706" s="1"/>
    </row>
    <row r="707" spans="4:9" ht="20.25" customHeight="1">
      <c r="D707" s="640"/>
      <c r="E707" s="640"/>
      <c r="F707" s="1"/>
      <c r="G707" s="1"/>
      <c r="H707" s="640"/>
      <c r="I707" s="1"/>
    </row>
    <row r="708" spans="4:9" ht="20.25" customHeight="1">
      <c r="D708" s="640"/>
      <c r="E708" s="640"/>
      <c r="F708" s="1"/>
      <c r="G708" s="1"/>
      <c r="H708" s="640"/>
      <c r="I708" s="1"/>
    </row>
    <row r="709" spans="4:9" ht="20.25" customHeight="1">
      <c r="D709" s="640"/>
      <c r="E709" s="640"/>
      <c r="F709" s="1"/>
      <c r="G709" s="1"/>
      <c r="H709" s="640"/>
      <c r="I709" s="1"/>
    </row>
    <row r="710" spans="4:9" ht="20.25" customHeight="1">
      <c r="D710" s="640"/>
      <c r="E710" s="640"/>
      <c r="F710" s="1"/>
      <c r="G710" s="1"/>
      <c r="H710" s="640"/>
      <c r="I710" s="1"/>
    </row>
    <row r="711" spans="4:9" ht="20.25" customHeight="1">
      <c r="D711" s="640"/>
      <c r="E711" s="640"/>
      <c r="F711" s="1"/>
      <c r="G711" s="1"/>
      <c r="H711" s="640"/>
      <c r="I711" s="1"/>
    </row>
    <row r="712" spans="4:9" ht="20.25" customHeight="1">
      <c r="D712" s="640"/>
      <c r="E712" s="640"/>
      <c r="F712" s="1"/>
      <c r="G712" s="1"/>
      <c r="H712" s="640"/>
      <c r="I712" s="1"/>
    </row>
    <row r="713" spans="4:9" ht="20.25" customHeight="1">
      <c r="D713" s="640"/>
      <c r="E713" s="640"/>
      <c r="F713" s="1"/>
      <c r="G713" s="1"/>
      <c r="H713" s="640"/>
      <c r="I713" s="1"/>
    </row>
    <row r="714" spans="4:9" ht="20.25" customHeight="1">
      <c r="D714" s="640"/>
      <c r="E714" s="640"/>
      <c r="F714" s="1"/>
      <c r="G714" s="1"/>
      <c r="H714" s="640"/>
      <c r="I714" s="1"/>
    </row>
    <row r="715" spans="4:9" ht="20.25" customHeight="1">
      <c r="D715" s="640"/>
      <c r="E715" s="640"/>
      <c r="F715" s="1"/>
      <c r="G715" s="1"/>
      <c r="H715" s="640"/>
      <c r="I715" s="1"/>
    </row>
    <row r="716" spans="4:9" ht="20.25" customHeight="1">
      <c r="D716" s="640"/>
      <c r="E716" s="640"/>
      <c r="F716" s="1"/>
      <c r="G716" s="1"/>
      <c r="H716" s="640"/>
      <c r="I716" s="1"/>
    </row>
    <row r="717" spans="4:9" ht="20.25" customHeight="1">
      <c r="D717" s="640"/>
      <c r="E717" s="640"/>
      <c r="F717" s="1"/>
      <c r="G717" s="1"/>
      <c r="H717" s="640"/>
      <c r="I717" s="1"/>
    </row>
    <row r="718" spans="4:9" ht="20.25" customHeight="1">
      <c r="D718" s="640"/>
      <c r="E718" s="640"/>
      <c r="F718" s="1"/>
      <c r="G718" s="1"/>
      <c r="H718" s="640"/>
      <c r="I718" s="1"/>
    </row>
    <row r="719" spans="4:9" ht="20.25" customHeight="1">
      <c r="D719" s="640"/>
      <c r="E719" s="640"/>
      <c r="F719" s="1"/>
      <c r="G719" s="1"/>
      <c r="H719" s="640"/>
      <c r="I719" s="1"/>
    </row>
    <row r="720" spans="4:9" ht="20.25" customHeight="1">
      <c r="D720" s="640"/>
      <c r="E720" s="640"/>
      <c r="F720" s="1"/>
      <c r="G720" s="1"/>
      <c r="H720" s="640"/>
      <c r="I720" s="1"/>
    </row>
    <row r="721" spans="4:9" ht="20.25" customHeight="1">
      <c r="D721" s="640"/>
      <c r="E721" s="640"/>
      <c r="F721" s="1"/>
      <c r="G721" s="1"/>
      <c r="H721" s="640"/>
      <c r="I721" s="1"/>
    </row>
    <row r="722" spans="4:9" ht="20.25" customHeight="1">
      <c r="D722" s="640"/>
      <c r="E722" s="640"/>
      <c r="F722" s="1"/>
      <c r="G722" s="1"/>
      <c r="H722" s="640"/>
      <c r="I722" s="1"/>
    </row>
    <row r="723" spans="4:9" ht="20.25" customHeight="1">
      <c r="D723" s="640"/>
      <c r="E723" s="640"/>
      <c r="F723" s="1"/>
      <c r="G723" s="1"/>
      <c r="H723" s="640"/>
      <c r="I723" s="1"/>
    </row>
    <row r="724" spans="4:9" ht="20.25" customHeight="1">
      <c r="D724" s="640"/>
      <c r="E724" s="640"/>
      <c r="F724" s="1"/>
      <c r="G724" s="1"/>
      <c r="H724" s="640"/>
      <c r="I724" s="1"/>
    </row>
    <row r="725" spans="4:9" ht="20.25" customHeight="1">
      <c r="D725" s="640"/>
      <c r="E725" s="640"/>
      <c r="F725" s="1"/>
      <c r="G725" s="1"/>
      <c r="H725" s="640"/>
      <c r="I725" s="1"/>
    </row>
    <row r="726" spans="4:9" ht="20.25" customHeight="1">
      <c r="D726" s="640"/>
      <c r="E726" s="640"/>
      <c r="F726" s="1"/>
      <c r="G726" s="1"/>
      <c r="H726" s="640"/>
      <c r="I726" s="1"/>
    </row>
    <row r="727" spans="4:9" ht="20.25" customHeight="1">
      <c r="D727" s="640"/>
      <c r="E727" s="640"/>
      <c r="F727" s="1"/>
      <c r="G727" s="1"/>
      <c r="H727" s="640"/>
      <c r="I727" s="1"/>
    </row>
    <row r="728" spans="4:9" ht="20.25" customHeight="1">
      <c r="D728" s="640"/>
      <c r="E728" s="640"/>
      <c r="F728" s="1"/>
      <c r="G728" s="1"/>
      <c r="H728" s="640"/>
      <c r="I728" s="1"/>
    </row>
    <row r="729" spans="4:9" ht="20.25" customHeight="1">
      <c r="D729" s="640"/>
      <c r="E729" s="640"/>
      <c r="F729" s="1"/>
      <c r="G729" s="1"/>
      <c r="H729" s="640"/>
      <c r="I729" s="1"/>
    </row>
    <row r="730" spans="4:9" ht="20.25" customHeight="1">
      <c r="D730" s="640"/>
      <c r="E730" s="640"/>
      <c r="F730" s="1"/>
      <c r="G730" s="1"/>
      <c r="H730" s="640"/>
      <c r="I730" s="1"/>
    </row>
    <row r="731" spans="4:9" ht="20.25" customHeight="1">
      <c r="D731" s="640"/>
      <c r="E731" s="640"/>
      <c r="F731" s="1"/>
      <c r="G731" s="1"/>
      <c r="H731" s="640"/>
      <c r="I731" s="1"/>
    </row>
    <row r="732" spans="4:9" ht="20.25" customHeight="1">
      <c r="D732" s="640"/>
      <c r="E732" s="640"/>
      <c r="F732" s="1"/>
      <c r="G732" s="1"/>
      <c r="H732" s="640"/>
      <c r="I732" s="1"/>
    </row>
    <row r="733" spans="4:9" ht="20.25" customHeight="1">
      <c r="D733" s="640"/>
      <c r="E733" s="640"/>
      <c r="F733" s="1"/>
      <c r="G733" s="1"/>
      <c r="H733" s="640"/>
      <c r="I733" s="1"/>
    </row>
    <row r="734" spans="4:9" ht="20.25" customHeight="1">
      <c r="D734" s="640"/>
      <c r="E734" s="640"/>
      <c r="F734" s="1"/>
      <c r="G734" s="1"/>
      <c r="H734" s="640"/>
      <c r="I734" s="1"/>
    </row>
    <row r="735" spans="4:9" ht="20.25" customHeight="1">
      <c r="D735" s="640"/>
      <c r="E735" s="640"/>
      <c r="F735" s="1"/>
      <c r="G735" s="1"/>
      <c r="H735" s="640"/>
      <c r="I735" s="1"/>
    </row>
    <row r="736" spans="4:9" ht="20.25" customHeight="1">
      <c r="D736" s="640"/>
      <c r="E736" s="640"/>
      <c r="F736" s="1"/>
      <c r="G736" s="1"/>
      <c r="H736" s="640"/>
      <c r="I736" s="1"/>
    </row>
    <row r="737" spans="4:9" ht="20.25" customHeight="1">
      <c r="D737" s="640"/>
      <c r="E737" s="640"/>
      <c r="F737" s="1"/>
      <c r="G737" s="1"/>
      <c r="H737" s="640"/>
      <c r="I737" s="1"/>
    </row>
    <row r="738" spans="4:9" ht="20.25" customHeight="1">
      <c r="D738" s="640"/>
      <c r="E738" s="640"/>
      <c r="F738" s="1"/>
      <c r="G738" s="1"/>
      <c r="H738" s="640"/>
      <c r="I738" s="1"/>
    </row>
    <row r="739" spans="4:9" ht="20.25" customHeight="1">
      <c r="D739" s="640"/>
      <c r="E739" s="640"/>
      <c r="F739" s="1"/>
      <c r="G739" s="1"/>
      <c r="H739" s="640"/>
      <c r="I739" s="1"/>
    </row>
    <row r="740" spans="4:9" ht="20.25" customHeight="1">
      <c r="D740" s="640"/>
      <c r="E740" s="640"/>
      <c r="F740" s="1"/>
      <c r="G740" s="1"/>
      <c r="H740" s="640"/>
      <c r="I740" s="1"/>
    </row>
    <row r="741" spans="4:9" ht="20.25" customHeight="1">
      <c r="D741" s="640"/>
      <c r="E741" s="640"/>
      <c r="F741" s="1"/>
      <c r="G741" s="1"/>
      <c r="H741" s="640"/>
      <c r="I741" s="1"/>
    </row>
    <row r="742" spans="4:9" ht="20.25" customHeight="1">
      <c r="D742" s="640"/>
      <c r="E742" s="640"/>
      <c r="F742" s="1"/>
      <c r="G742" s="1"/>
      <c r="H742" s="640"/>
      <c r="I742" s="1"/>
    </row>
    <row r="743" spans="4:9" ht="20.25" customHeight="1">
      <c r="D743" s="640"/>
      <c r="E743" s="640"/>
      <c r="F743" s="1"/>
      <c r="G743" s="1"/>
      <c r="H743" s="640"/>
      <c r="I743" s="1"/>
    </row>
    <row r="744" spans="4:9" ht="20.25" customHeight="1">
      <c r="D744" s="640"/>
      <c r="E744" s="640"/>
      <c r="F744" s="1"/>
      <c r="G744" s="1"/>
      <c r="H744" s="640"/>
      <c r="I744" s="1"/>
    </row>
    <row r="745" spans="4:9" ht="20.25" customHeight="1">
      <c r="D745" s="640"/>
      <c r="E745" s="640"/>
      <c r="F745" s="1"/>
      <c r="G745" s="1"/>
      <c r="H745" s="640"/>
      <c r="I745" s="1"/>
    </row>
    <row r="746" spans="4:9" ht="20.25" customHeight="1">
      <c r="D746" s="640"/>
      <c r="E746" s="640"/>
      <c r="F746" s="1"/>
      <c r="G746" s="1"/>
      <c r="H746" s="640"/>
      <c r="I746" s="1"/>
    </row>
    <row r="747" spans="4:9" ht="20.25" customHeight="1">
      <c r="D747" s="640"/>
      <c r="E747" s="640"/>
      <c r="F747" s="1"/>
      <c r="G747" s="1"/>
      <c r="H747" s="640"/>
      <c r="I747" s="1"/>
    </row>
    <row r="748" spans="4:9" ht="20.25" customHeight="1">
      <c r="D748" s="640"/>
      <c r="E748" s="640"/>
      <c r="F748" s="1"/>
      <c r="G748" s="1"/>
      <c r="H748" s="640"/>
      <c r="I748" s="1"/>
    </row>
    <row r="749" spans="4:9" ht="20.25" customHeight="1">
      <c r="D749" s="640"/>
      <c r="E749" s="640"/>
      <c r="F749" s="1"/>
      <c r="G749" s="1"/>
      <c r="H749" s="640"/>
      <c r="I749" s="1"/>
    </row>
    <row r="750" spans="4:9" ht="20.25" customHeight="1">
      <c r="D750" s="640"/>
      <c r="E750" s="640"/>
      <c r="F750" s="1"/>
      <c r="G750" s="1"/>
      <c r="H750" s="640"/>
      <c r="I750" s="1"/>
    </row>
    <row r="751" spans="4:9" ht="20.25" customHeight="1">
      <c r="D751" s="640"/>
      <c r="E751" s="640"/>
      <c r="F751" s="1"/>
      <c r="G751" s="1"/>
      <c r="H751" s="640"/>
      <c r="I751" s="1"/>
    </row>
    <row r="752" spans="4:9" ht="20.25" customHeight="1">
      <c r="D752" s="640"/>
      <c r="E752" s="640"/>
      <c r="F752" s="1"/>
      <c r="G752" s="1"/>
      <c r="H752" s="640"/>
      <c r="I752" s="1"/>
    </row>
    <row r="753" spans="4:9" ht="20.25" customHeight="1">
      <c r="D753" s="640"/>
      <c r="E753" s="640"/>
      <c r="F753" s="1"/>
      <c r="G753" s="1"/>
      <c r="H753" s="640"/>
      <c r="I753" s="1"/>
    </row>
    <row r="754" spans="4:9" ht="20.25" customHeight="1">
      <c r="D754" s="640"/>
      <c r="E754" s="640"/>
      <c r="F754" s="1"/>
      <c r="G754" s="1"/>
      <c r="H754" s="640"/>
      <c r="I754" s="1"/>
    </row>
    <row r="755" spans="4:9" ht="20.25" customHeight="1">
      <c r="D755" s="640"/>
      <c r="E755" s="640"/>
      <c r="F755" s="1"/>
      <c r="G755" s="1"/>
      <c r="H755" s="640"/>
      <c r="I755" s="1"/>
    </row>
    <row r="756" spans="4:9" ht="20.25" customHeight="1">
      <c r="D756" s="640"/>
      <c r="E756" s="640"/>
      <c r="F756" s="1"/>
      <c r="G756" s="1"/>
      <c r="H756" s="640"/>
      <c r="I756" s="1"/>
    </row>
    <row r="757" spans="4:9" ht="20.25" customHeight="1">
      <c r="D757" s="640"/>
      <c r="E757" s="640"/>
      <c r="F757" s="1"/>
      <c r="G757" s="1"/>
      <c r="H757" s="640"/>
      <c r="I757" s="1"/>
    </row>
    <row r="758" spans="4:9" ht="20.25" customHeight="1">
      <c r="D758" s="640"/>
      <c r="E758" s="640"/>
      <c r="F758" s="1"/>
      <c r="G758" s="1"/>
      <c r="H758" s="640"/>
      <c r="I758" s="1"/>
    </row>
    <row r="759" spans="4:9" ht="20.25" customHeight="1">
      <c r="D759" s="640"/>
      <c r="E759" s="640"/>
      <c r="F759" s="1"/>
      <c r="G759" s="1"/>
      <c r="H759" s="640"/>
      <c r="I759" s="1"/>
    </row>
    <row r="760" spans="4:9" ht="20.25" customHeight="1">
      <c r="D760" s="640"/>
      <c r="E760" s="640"/>
      <c r="F760" s="1"/>
      <c r="G760" s="1"/>
      <c r="H760" s="640"/>
      <c r="I760" s="1"/>
    </row>
    <row r="761" spans="4:9" ht="20.25" customHeight="1">
      <c r="D761" s="640"/>
      <c r="E761" s="640"/>
      <c r="F761" s="1"/>
      <c r="G761" s="1"/>
      <c r="H761" s="640"/>
      <c r="I761" s="1"/>
    </row>
    <row r="762" spans="4:9" ht="20.25" customHeight="1">
      <c r="D762" s="640"/>
      <c r="E762" s="640"/>
      <c r="F762" s="1"/>
      <c r="G762" s="1"/>
      <c r="H762" s="640"/>
      <c r="I762" s="1"/>
    </row>
    <row r="763" spans="4:9" ht="20.25" customHeight="1">
      <c r="D763" s="640"/>
      <c r="E763" s="640"/>
      <c r="F763" s="1"/>
      <c r="G763" s="1"/>
      <c r="H763" s="640"/>
      <c r="I763" s="1"/>
    </row>
    <row r="764" spans="4:9" ht="20.25" customHeight="1">
      <c r="D764" s="640"/>
      <c r="E764" s="640"/>
      <c r="F764" s="1"/>
      <c r="G764" s="1"/>
      <c r="H764" s="640"/>
      <c r="I764" s="1"/>
    </row>
    <row r="765" spans="4:9" ht="20.25" customHeight="1">
      <c r="D765" s="640"/>
      <c r="E765" s="640"/>
      <c r="F765" s="1"/>
      <c r="G765" s="1"/>
      <c r="H765" s="640"/>
      <c r="I765" s="1"/>
    </row>
    <row r="766" spans="4:9" ht="20.25" customHeight="1">
      <c r="D766" s="640"/>
      <c r="E766" s="640"/>
      <c r="F766" s="1"/>
      <c r="G766" s="1"/>
      <c r="H766" s="640"/>
      <c r="I766" s="1"/>
    </row>
    <row r="767" spans="4:9" ht="20.25" customHeight="1">
      <c r="D767" s="640"/>
      <c r="E767" s="640"/>
      <c r="F767" s="1"/>
      <c r="G767" s="1"/>
      <c r="H767" s="640"/>
      <c r="I767" s="1"/>
    </row>
    <row r="768" spans="4:9" ht="20.25" customHeight="1">
      <c r="D768" s="640"/>
      <c r="E768" s="640"/>
      <c r="F768" s="1"/>
      <c r="G768" s="1"/>
      <c r="H768" s="640"/>
      <c r="I768" s="1"/>
    </row>
    <row r="769" spans="4:9" ht="20.25" customHeight="1">
      <c r="D769" s="640"/>
      <c r="E769" s="640"/>
      <c r="F769" s="1"/>
      <c r="G769" s="1"/>
      <c r="H769" s="640"/>
      <c r="I769" s="1"/>
    </row>
    <row r="770" spans="4:9" ht="20.25" customHeight="1">
      <c r="D770" s="640"/>
      <c r="E770" s="640"/>
      <c r="F770" s="1"/>
      <c r="G770" s="1"/>
      <c r="H770" s="640"/>
      <c r="I770" s="1"/>
    </row>
    <row r="771" spans="4:9" ht="20.25" customHeight="1">
      <c r="D771" s="640"/>
      <c r="E771" s="640"/>
      <c r="F771" s="1"/>
      <c r="G771" s="1"/>
      <c r="H771" s="640"/>
      <c r="I771" s="1"/>
    </row>
    <row r="772" spans="4:9" ht="20.25" customHeight="1">
      <c r="D772" s="640"/>
      <c r="E772" s="640"/>
      <c r="F772" s="1"/>
      <c r="G772" s="1"/>
      <c r="H772" s="640"/>
      <c r="I772" s="1"/>
    </row>
    <row r="773" spans="4:9" ht="20.25" customHeight="1">
      <c r="D773" s="640"/>
      <c r="E773" s="640"/>
      <c r="F773" s="1"/>
      <c r="G773" s="1"/>
      <c r="H773" s="640"/>
      <c r="I773" s="1"/>
    </row>
    <row r="774" spans="4:9" ht="20.25" customHeight="1">
      <c r="D774" s="640"/>
      <c r="E774" s="640"/>
      <c r="F774" s="1"/>
      <c r="G774" s="1"/>
      <c r="H774" s="640"/>
      <c r="I774" s="1"/>
    </row>
    <row r="775" spans="4:9" ht="20.25" customHeight="1">
      <c r="D775" s="640"/>
      <c r="E775" s="640"/>
      <c r="F775" s="1"/>
      <c r="G775" s="1"/>
      <c r="H775" s="640"/>
      <c r="I775" s="1"/>
    </row>
    <row r="776" spans="4:9" ht="20.25" customHeight="1">
      <c r="D776" s="640"/>
      <c r="E776" s="640"/>
      <c r="F776" s="1"/>
      <c r="G776" s="1"/>
      <c r="H776" s="640"/>
      <c r="I776" s="1"/>
    </row>
    <row r="777" spans="4:9" ht="20.25" customHeight="1">
      <c r="D777" s="640"/>
      <c r="E777" s="640"/>
      <c r="F777" s="1"/>
      <c r="G777" s="1"/>
      <c r="H777" s="640"/>
      <c r="I777" s="1"/>
    </row>
    <row r="778" spans="4:9" ht="20.25" customHeight="1">
      <c r="D778" s="640"/>
      <c r="E778" s="640"/>
      <c r="F778" s="1"/>
      <c r="G778" s="1"/>
      <c r="H778" s="640"/>
      <c r="I778" s="1"/>
    </row>
    <row r="779" spans="4:9" ht="20.25" customHeight="1">
      <c r="D779" s="640"/>
      <c r="E779" s="640"/>
      <c r="F779" s="1"/>
      <c r="G779" s="1"/>
      <c r="H779" s="640"/>
      <c r="I779" s="1"/>
    </row>
    <row r="780" spans="4:9" ht="20.25" customHeight="1">
      <c r="D780" s="640"/>
      <c r="E780" s="640"/>
      <c r="F780" s="1"/>
      <c r="G780" s="1"/>
      <c r="H780" s="640"/>
      <c r="I780" s="1"/>
    </row>
    <row r="781" spans="4:9" ht="20.25" customHeight="1">
      <c r="D781" s="640"/>
      <c r="E781" s="640"/>
      <c r="F781" s="1"/>
      <c r="G781" s="1"/>
      <c r="H781" s="640"/>
      <c r="I781" s="1"/>
    </row>
    <row r="782" spans="4:9" ht="20.25" customHeight="1">
      <c r="D782" s="640"/>
      <c r="E782" s="640"/>
      <c r="F782" s="1"/>
      <c r="G782" s="1"/>
      <c r="H782" s="640"/>
      <c r="I782" s="1"/>
    </row>
    <row r="783" spans="4:9" ht="20.25" customHeight="1">
      <c r="D783" s="640"/>
      <c r="E783" s="640"/>
      <c r="F783" s="1"/>
      <c r="G783" s="1"/>
      <c r="H783" s="640"/>
      <c r="I783" s="1"/>
    </row>
    <row r="784" spans="4:9" ht="20.25" customHeight="1">
      <c r="D784" s="640"/>
      <c r="E784" s="640"/>
      <c r="F784" s="1"/>
      <c r="G784" s="1"/>
      <c r="H784" s="640"/>
      <c r="I784" s="1"/>
    </row>
    <row r="785" spans="4:9" ht="20.25" customHeight="1">
      <c r="D785" s="640"/>
      <c r="E785" s="640"/>
      <c r="F785" s="1"/>
      <c r="G785" s="1"/>
      <c r="H785" s="640"/>
      <c r="I785" s="1"/>
    </row>
    <row r="786" spans="4:9" ht="20.25" customHeight="1">
      <c r="D786" s="640"/>
      <c r="E786" s="640"/>
      <c r="F786" s="1"/>
      <c r="G786" s="1"/>
      <c r="H786" s="640"/>
      <c r="I786" s="1"/>
    </row>
    <row r="787" spans="4:9" ht="20.25" customHeight="1">
      <c r="D787" s="640"/>
      <c r="E787" s="640"/>
      <c r="F787" s="1"/>
      <c r="G787" s="1"/>
      <c r="H787" s="640"/>
      <c r="I787" s="1"/>
    </row>
    <row r="788" spans="4:9" ht="20.25" customHeight="1">
      <c r="D788" s="640"/>
      <c r="E788" s="640"/>
      <c r="F788" s="1"/>
      <c r="G788" s="1"/>
      <c r="H788" s="640"/>
      <c r="I788" s="1"/>
    </row>
    <row r="789" spans="4:9" ht="20.25" customHeight="1">
      <c r="D789" s="640"/>
      <c r="E789" s="640"/>
      <c r="F789" s="1"/>
      <c r="G789" s="1"/>
      <c r="H789" s="640"/>
      <c r="I789" s="1"/>
    </row>
    <row r="790" spans="4:9" ht="20.25" customHeight="1">
      <c r="D790" s="640"/>
      <c r="E790" s="640"/>
      <c r="F790" s="1"/>
      <c r="G790" s="1"/>
      <c r="H790" s="640"/>
      <c r="I790" s="1"/>
    </row>
    <row r="791" spans="4:9" ht="20.25" customHeight="1">
      <c r="D791" s="640"/>
      <c r="E791" s="640"/>
      <c r="F791" s="1"/>
      <c r="G791" s="1"/>
      <c r="H791" s="640"/>
      <c r="I791" s="1"/>
    </row>
    <row r="792" spans="4:9" ht="20.25" customHeight="1">
      <c r="D792" s="640"/>
      <c r="E792" s="640"/>
      <c r="F792" s="1"/>
      <c r="G792" s="1"/>
      <c r="H792" s="640"/>
      <c r="I792" s="1"/>
    </row>
    <row r="793" spans="4:9" ht="20.25" customHeight="1">
      <c r="D793" s="640"/>
      <c r="E793" s="640"/>
      <c r="F793" s="1"/>
      <c r="G793" s="1"/>
      <c r="H793" s="640"/>
      <c r="I793" s="1"/>
    </row>
    <row r="794" spans="4:9" ht="20.25" customHeight="1">
      <c r="D794" s="640"/>
      <c r="E794" s="640"/>
      <c r="F794" s="1"/>
      <c r="G794" s="1"/>
      <c r="H794" s="640"/>
      <c r="I794" s="1"/>
    </row>
    <row r="795" spans="4:9" ht="20.25" customHeight="1">
      <c r="D795" s="640"/>
      <c r="E795" s="640"/>
      <c r="F795" s="1"/>
      <c r="G795" s="1"/>
      <c r="H795" s="640"/>
      <c r="I795" s="1"/>
    </row>
    <row r="796" spans="4:9" ht="20.25" customHeight="1">
      <c r="D796" s="640"/>
      <c r="E796" s="640"/>
      <c r="F796" s="1"/>
      <c r="G796" s="1"/>
      <c r="H796" s="640"/>
      <c r="I796" s="1"/>
    </row>
    <row r="797" spans="4:9" ht="20.25" customHeight="1">
      <c r="D797" s="640"/>
      <c r="E797" s="640"/>
      <c r="F797" s="1"/>
      <c r="G797" s="1"/>
      <c r="H797" s="640"/>
      <c r="I797" s="1"/>
    </row>
    <row r="798" spans="4:9" ht="20.25" customHeight="1">
      <c r="D798" s="640"/>
      <c r="E798" s="640"/>
      <c r="F798" s="1"/>
      <c r="G798" s="1"/>
      <c r="H798" s="640"/>
      <c r="I798" s="1"/>
    </row>
    <row r="799" spans="4:9" ht="20.25" customHeight="1">
      <c r="D799" s="640"/>
      <c r="E799" s="640"/>
      <c r="F799" s="1"/>
      <c r="G799" s="1"/>
      <c r="H799" s="640"/>
      <c r="I799" s="1"/>
    </row>
    <row r="800" spans="4:9" ht="20.25" customHeight="1">
      <c r="D800" s="640"/>
      <c r="E800" s="640"/>
      <c r="F800" s="1"/>
      <c r="G800" s="1"/>
      <c r="H800" s="640"/>
      <c r="I800" s="1"/>
    </row>
    <row r="801" spans="4:9" ht="20.25" customHeight="1">
      <c r="D801" s="640"/>
      <c r="E801" s="640"/>
      <c r="F801" s="1"/>
      <c r="G801" s="1"/>
      <c r="H801" s="640"/>
      <c r="I801" s="1"/>
    </row>
    <row r="802" spans="4:9" ht="20.25" customHeight="1">
      <c r="D802" s="640"/>
      <c r="E802" s="640"/>
      <c r="F802" s="1"/>
      <c r="G802" s="1"/>
      <c r="H802" s="640"/>
      <c r="I802" s="1"/>
    </row>
    <row r="803" spans="4:9" ht="20.25" customHeight="1">
      <c r="D803" s="640"/>
      <c r="E803" s="640"/>
      <c r="F803" s="1"/>
      <c r="G803" s="1"/>
      <c r="H803" s="640"/>
      <c r="I803" s="1"/>
    </row>
    <row r="804" spans="4:9" ht="20.25" customHeight="1">
      <c r="D804" s="640"/>
      <c r="E804" s="640"/>
      <c r="F804" s="1"/>
      <c r="G804" s="1"/>
      <c r="H804" s="640"/>
      <c r="I804" s="1"/>
    </row>
    <row r="805" spans="4:9" ht="20.25" customHeight="1">
      <c r="D805" s="640"/>
      <c r="E805" s="640"/>
      <c r="F805" s="1"/>
      <c r="G805" s="1"/>
      <c r="H805" s="640"/>
      <c r="I805" s="1"/>
    </row>
    <row r="806" spans="4:9" ht="20.25" customHeight="1">
      <c r="D806" s="640"/>
      <c r="E806" s="640"/>
      <c r="F806" s="1"/>
      <c r="G806" s="1"/>
      <c r="H806" s="640"/>
      <c r="I806" s="1"/>
    </row>
    <row r="807" spans="4:9" ht="20.25" customHeight="1">
      <c r="D807" s="640"/>
      <c r="E807" s="640"/>
      <c r="F807" s="1"/>
      <c r="G807" s="1"/>
      <c r="H807" s="640"/>
      <c r="I807" s="1"/>
    </row>
    <row r="808" spans="4:9" ht="20.25" customHeight="1">
      <c r="D808" s="640"/>
      <c r="E808" s="640"/>
      <c r="F808" s="1"/>
      <c r="G808" s="1"/>
      <c r="H808" s="640"/>
      <c r="I808" s="1"/>
    </row>
    <row r="809" spans="4:9" ht="20.25" customHeight="1">
      <c r="D809" s="640"/>
      <c r="E809" s="640"/>
      <c r="F809" s="1"/>
      <c r="G809" s="1"/>
      <c r="H809" s="640"/>
      <c r="I809" s="1"/>
    </row>
    <row r="810" spans="4:9" ht="20.25" customHeight="1">
      <c r="D810" s="640"/>
      <c r="E810" s="640"/>
      <c r="F810" s="1"/>
      <c r="G810" s="1"/>
      <c r="H810" s="640"/>
      <c r="I810" s="1"/>
    </row>
    <row r="811" spans="4:9" ht="20.25" customHeight="1">
      <c r="D811" s="640"/>
      <c r="E811" s="640"/>
      <c r="F811" s="1"/>
      <c r="G811" s="1"/>
      <c r="H811" s="640"/>
      <c r="I811" s="1"/>
    </row>
    <row r="812" spans="4:9" ht="20.25" customHeight="1">
      <c r="D812" s="640"/>
      <c r="E812" s="640"/>
      <c r="F812" s="1"/>
      <c r="G812" s="1"/>
      <c r="H812" s="640"/>
      <c r="I812" s="1"/>
    </row>
    <row r="813" spans="4:9" ht="20.25" customHeight="1">
      <c r="D813" s="640"/>
      <c r="E813" s="640"/>
      <c r="F813" s="1"/>
      <c r="G813" s="1"/>
      <c r="H813" s="640"/>
      <c r="I813" s="1"/>
    </row>
    <row r="814" spans="4:9" ht="20.25" customHeight="1">
      <c r="D814" s="640"/>
      <c r="E814" s="640"/>
      <c r="F814" s="1"/>
      <c r="G814" s="1"/>
      <c r="H814" s="640"/>
      <c r="I814" s="1"/>
    </row>
    <row r="815" spans="4:9" ht="20.25" customHeight="1">
      <c r="D815" s="640"/>
      <c r="E815" s="640"/>
      <c r="F815" s="1"/>
      <c r="G815" s="1"/>
      <c r="H815" s="640"/>
      <c r="I815" s="1"/>
    </row>
    <row r="816" spans="4:9" ht="20.25" customHeight="1">
      <c r="D816" s="640"/>
      <c r="E816" s="640"/>
      <c r="F816" s="1"/>
      <c r="G816" s="1"/>
      <c r="H816" s="640"/>
      <c r="I816" s="1"/>
    </row>
    <row r="817" spans="4:9" ht="20.25" customHeight="1">
      <c r="D817" s="640"/>
      <c r="E817" s="640"/>
      <c r="F817" s="1"/>
      <c r="G817" s="1"/>
      <c r="H817" s="640"/>
      <c r="I817" s="1"/>
    </row>
    <row r="818" spans="4:9" ht="20.25" customHeight="1">
      <c r="D818" s="640"/>
      <c r="E818" s="640"/>
      <c r="F818" s="1"/>
      <c r="G818" s="1"/>
      <c r="H818" s="640"/>
      <c r="I818" s="1"/>
    </row>
    <row r="819" spans="4:9" ht="20.25" customHeight="1">
      <c r="D819" s="640"/>
      <c r="E819" s="640"/>
      <c r="F819" s="1"/>
      <c r="G819" s="1"/>
      <c r="H819" s="640"/>
      <c r="I819" s="1"/>
    </row>
    <row r="820" spans="4:9" ht="20.25" customHeight="1">
      <c r="D820" s="640"/>
      <c r="E820" s="640"/>
      <c r="F820" s="1"/>
      <c r="G820" s="1"/>
      <c r="H820" s="640"/>
      <c r="I820" s="1"/>
    </row>
    <row r="821" spans="4:9" ht="20.25" customHeight="1">
      <c r="D821" s="640"/>
      <c r="E821" s="640"/>
      <c r="F821" s="1"/>
      <c r="G821" s="1"/>
      <c r="H821" s="640"/>
      <c r="I821" s="1"/>
    </row>
    <row r="822" spans="4:9" ht="20.25" customHeight="1">
      <c r="D822" s="640"/>
      <c r="E822" s="640"/>
      <c r="F822" s="1"/>
      <c r="G822" s="1"/>
      <c r="H822" s="640"/>
      <c r="I822" s="1"/>
    </row>
    <row r="823" spans="4:9" ht="20.25" customHeight="1">
      <c r="D823" s="640"/>
      <c r="E823" s="640"/>
      <c r="F823" s="1"/>
      <c r="G823" s="1"/>
      <c r="H823" s="640"/>
      <c r="I823" s="1"/>
    </row>
    <row r="824" spans="4:9" ht="20.25" customHeight="1">
      <c r="D824" s="640"/>
      <c r="E824" s="640"/>
      <c r="F824" s="1"/>
      <c r="G824" s="1"/>
      <c r="H824" s="640"/>
      <c r="I824" s="1"/>
    </row>
    <row r="825" spans="4:9" ht="20.25" customHeight="1">
      <c r="D825" s="640"/>
      <c r="E825" s="640"/>
      <c r="F825" s="1"/>
      <c r="G825" s="1"/>
      <c r="H825" s="640"/>
      <c r="I825" s="1"/>
    </row>
    <row r="826" spans="4:9" ht="20.25" customHeight="1">
      <c r="D826" s="640"/>
      <c r="E826" s="640"/>
      <c r="F826" s="1"/>
      <c r="G826" s="1"/>
      <c r="H826" s="640"/>
      <c r="I826" s="1"/>
    </row>
    <row r="827" spans="4:9" ht="20.25" customHeight="1">
      <c r="D827" s="640"/>
      <c r="E827" s="640"/>
      <c r="F827" s="1"/>
      <c r="G827" s="1"/>
      <c r="H827" s="640"/>
      <c r="I827" s="1"/>
    </row>
    <row r="828" spans="4:9" ht="20.25" customHeight="1">
      <c r="D828" s="640"/>
      <c r="E828" s="640"/>
      <c r="F828" s="1"/>
      <c r="G828" s="1"/>
      <c r="H828" s="640"/>
      <c r="I828" s="1"/>
    </row>
    <row r="829" spans="4:9" ht="20.25" customHeight="1">
      <c r="D829" s="640"/>
      <c r="E829" s="640"/>
      <c r="F829" s="1"/>
      <c r="G829" s="1"/>
      <c r="H829" s="640"/>
      <c r="I829" s="1"/>
    </row>
    <row r="830" spans="4:9" ht="20.25" customHeight="1">
      <c r="D830" s="640"/>
      <c r="E830" s="640"/>
      <c r="F830" s="1"/>
      <c r="G830" s="1"/>
      <c r="H830" s="640"/>
      <c r="I830" s="1"/>
    </row>
    <row r="831" spans="4:9" ht="20.25" customHeight="1">
      <c r="D831" s="640"/>
      <c r="E831" s="640"/>
      <c r="F831" s="1"/>
      <c r="G831" s="1"/>
      <c r="H831" s="640"/>
      <c r="I831" s="1"/>
    </row>
    <row r="832" spans="4:9" ht="20.25" customHeight="1">
      <c r="D832" s="640"/>
      <c r="E832" s="640"/>
      <c r="F832" s="1"/>
      <c r="G832" s="1"/>
      <c r="H832" s="640"/>
      <c r="I832" s="1"/>
    </row>
    <row r="833" spans="4:9" ht="20.25" customHeight="1">
      <c r="D833" s="640"/>
      <c r="E833" s="640"/>
      <c r="F833" s="1"/>
      <c r="G833" s="1"/>
      <c r="H833" s="640"/>
      <c r="I833" s="1"/>
    </row>
    <row r="834" spans="4:9" ht="20.25" customHeight="1">
      <c r="D834" s="640"/>
      <c r="E834" s="640"/>
      <c r="F834" s="1"/>
      <c r="G834" s="1"/>
      <c r="H834" s="640"/>
      <c r="I834" s="1"/>
    </row>
    <row r="835" spans="4:9" ht="20.25" customHeight="1">
      <c r="D835" s="640"/>
      <c r="E835" s="640"/>
      <c r="F835" s="1"/>
      <c r="G835" s="1"/>
      <c r="H835" s="640"/>
      <c r="I835" s="1"/>
    </row>
    <row r="836" spans="4:9" ht="20.25" customHeight="1">
      <c r="D836" s="640"/>
      <c r="E836" s="640"/>
      <c r="F836" s="1"/>
      <c r="G836" s="1"/>
      <c r="H836" s="640"/>
      <c r="I836" s="1"/>
    </row>
    <row r="837" spans="4:9" ht="20.25" customHeight="1">
      <c r="D837" s="640"/>
      <c r="E837" s="640"/>
      <c r="F837" s="1"/>
      <c r="G837" s="1"/>
      <c r="H837" s="640"/>
      <c r="I837" s="1"/>
    </row>
    <row r="838" spans="4:9" ht="20.25" customHeight="1">
      <c r="D838" s="640"/>
      <c r="E838" s="640"/>
      <c r="F838" s="1"/>
      <c r="G838" s="1"/>
      <c r="H838" s="640"/>
      <c r="I838" s="1"/>
    </row>
    <row r="839" spans="4:9" ht="20.25" customHeight="1">
      <c r="D839" s="640"/>
      <c r="E839" s="640"/>
      <c r="F839" s="1"/>
      <c r="G839" s="1"/>
      <c r="H839" s="640"/>
      <c r="I839" s="1"/>
    </row>
    <row r="840" spans="4:9" ht="20.25" customHeight="1">
      <c r="D840" s="640"/>
      <c r="E840" s="640"/>
      <c r="F840" s="1"/>
      <c r="G840" s="1"/>
      <c r="H840" s="640"/>
      <c r="I840" s="1"/>
    </row>
    <row r="841" spans="4:9" ht="20.25" customHeight="1">
      <c r="D841" s="640"/>
      <c r="E841" s="640"/>
      <c r="F841" s="1"/>
      <c r="G841" s="1"/>
      <c r="H841" s="640"/>
      <c r="I841" s="1"/>
    </row>
    <row r="842" spans="4:9" ht="20.25" customHeight="1">
      <c r="D842" s="640"/>
      <c r="E842" s="640"/>
      <c r="F842" s="1"/>
      <c r="G842" s="1"/>
      <c r="H842" s="640"/>
      <c r="I842" s="1"/>
    </row>
    <row r="843" spans="4:9" ht="20.25" customHeight="1">
      <c r="D843" s="640"/>
      <c r="E843" s="640"/>
      <c r="F843" s="1"/>
      <c r="G843" s="1"/>
      <c r="H843" s="640"/>
      <c r="I843" s="1"/>
    </row>
    <row r="844" spans="4:9" ht="20.25" customHeight="1">
      <c r="D844" s="640"/>
      <c r="E844" s="640"/>
      <c r="F844" s="1"/>
      <c r="G844" s="1"/>
      <c r="H844" s="640"/>
      <c r="I844" s="1"/>
    </row>
    <row r="845" spans="4:9" ht="20.25" customHeight="1">
      <c r="D845" s="640"/>
      <c r="E845" s="640"/>
      <c r="F845" s="1"/>
      <c r="G845" s="1"/>
      <c r="H845" s="640"/>
      <c r="I845" s="1"/>
    </row>
    <row r="846" spans="4:9" ht="20.25" customHeight="1">
      <c r="D846" s="640"/>
      <c r="E846" s="640"/>
      <c r="F846" s="1"/>
      <c r="G846" s="1"/>
      <c r="H846" s="640"/>
      <c r="I846" s="1"/>
    </row>
    <row r="847" spans="4:9" ht="20.25" customHeight="1">
      <c r="D847" s="640"/>
      <c r="E847" s="640"/>
      <c r="F847" s="1"/>
      <c r="G847" s="1"/>
      <c r="H847" s="640"/>
      <c r="I847" s="1"/>
    </row>
    <row r="848" spans="4:9" ht="20.25" customHeight="1">
      <c r="D848" s="640"/>
      <c r="E848" s="640"/>
      <c r="F848" s="1"/>
      <c r="G848" s="1"/>
      <c r="H848" s="640"/>
      <c r="I848" s="1"/>
    </row>
    <row r="849" spans="4:9" ht="20.25" customHeight="1">
      <c r="D849" s="640"/>
      <c r="E849" s="640"/>
      <c r="F849" s="1"/>
      <c r="G849" s="1"/>
      <c r="H849" s="640"/>
      <c r="I849" s="1"/>
    </row>
    <row r="850" spans="4:9" ht="20.25" customHeight="1">
      <c r="D850" s="640"/>
      <c r="E850" s="640"/>
      <c r="F850" s="1"/>
      <c r="G850" s="1"/>
      <c r="H850" s="640"/>
      <c r="I850" s="1"/>
    </row>
    <row r="851" spans="4:9" ht="20.25" customHeight="1">
      <c r="D851" s="640"/>
      <c r="E851" s="640"/>
      <c r="F851" s="1"/>
      <c r="G851" s="1"/>
      <c r="H851" s="640"/>
      <c r="I851" s="1"/>
    </row>
    <row r="852" spans="4:9" ht="20.25" customHeight="1">
      <c r="D852" s="640"/>
      <c r="E852" s="640"/>
      <c r="F852" s="1"/>
      <c r="G852" s="1"/>
      <c r="H852" s="640"/>
      <c r="I852" s="1"/>
    </row>
    <row r="853" spans="4:9" ht="20.25" customHeight="1">
      <c r="D853" s="640"/>
      <c r="E853" s="640"/>
      <c r="F853" s="1"/>
      <c r="G853" s="1"/>
      <c r="H853" s="640"/>
      <c r="I853" s="1"/>
    </row>
    <row r="854" spans="4:9" ht="20.25" customHeight="1">
      <c r="D854" s="640"/>
      <c r="E854" s="640"/>
      <c r="F854" s="1"/>
      <c r="G854" s="1"/>
      <c r="H854" s="640"/>
      <c r="I854" s="1"/>
    </row>
    <row r="855" spans="4:9" ht="20.25" customHeight="1">
      <c r="D855" s="640"/>
      <c r="E855" s="640"/>
      <c r="F855" s="1"/>
      <c r="G855" s="1"/>
      <c r="H855" s="640"/>
      <c r="I855" s="1"/>
    </row>
    <row r="856" spans="4:9" ht="20.25" customHeight="1">
      <c r="D856" s="640"/>
      <c r="E856" s="640"/>
      <c r="F856" s="1"/>
      <c r="G856" s="1"/>
      <c r="H856" s="640"/>
      <c r="I856" s="1"/>
    </row>
    <row r="857" spans="4:9" ht="20.25" customHeight="1">
      <c r="D857" s="640"/>
      <c r="E857" s="640"/>
      <c r="F857" s="1"/>
      <c r="G857" s="1"/>
      <c r="H857" s="640"/>
      <c r="I857" s="1"/>
    </row>
    <row r="858" spans="4:9" ht="20.25" customHeight="1">
      <c r="D858" s="640"/>
      <c r="E858" s="640"/>
      <c r="F858" s="1"/>
      <c r="G858" s="1"/>
      <c r="H858" s="640"/>
      <c r="I858" s="1"/>
    </row>
    <row r="859" spans="4:9" ht="20.25" customHeight="1">
      <c r="D859" s="640"/>
      <c r="E859" s="640"/>
      <c r="F859" s="1"/>
      <c r="G859" s="1"/>
      <c r="H859" s="640"/>
      <c r="I859" s="1"/>
    </row>
    <row r="860" spans="4:9" ht="20.25" customHeight="1">
      <c r="D860" s="640"/>
      <c r="E860" s="640"/>
      <c r="F860" s="1"/>
      <c r="G860" s="1"/>
      <c r="H860" s="640"/>
      <c r="I860" s="1"/>
    </row>
    <row r="861" spans="4:9" ht="20.25" customHeight="1">
      <c r="D861" s="640"/>
      <c r="E861" s="640"/>
      <c r="F861" s="1"/>
      <c r="G861" s="1"/>
      <c r="H861" s="640"/>
      <c r="I861" s="1"/>
    </row>
    <row r="862" spans="4:9" ht="20.25" customHeight="1">
      <c r="D862" s="640"/>
      <c r="E862" s="640"/>
      <c r="F862" s="1"/>
      <c r="G862" s="1"/>
      <c r="H862" s="640"/>
      <c r="I862" s="1"/>
    </row>
    <row r="863" spans="4:9" ht="20.25" customHeight="1">
      <c r="D863" s="640"/>
      <c r="E863" s="640"/>
      <c r="F863" s="1"/>
      <c r="G863" s="1"/>
      <c r="H863" s="640"/>
      <c r="I863" s="1"/>
    </row>
    <row r="864" spans="4:9" ht="20.25" customHeight="1">
      <c r="D864" s="640"/>
      <c r="E864" s="640"/>
      <c r="F864" s="1"/>
      <c r="G864" s="1"/>
      <c r="H864" s="640"/>
      <c r="I864" s="1"/>
    </row>
    <row r="865" spans="4:9" ht="20.25" customHeight="1">
      <c r="D865" s="640"/>
      <c r="E865" s="640"/>
      <c r="F865" s="1"/>
      <c r="G865" s="1"/>
      <c r="H865" s="640"/>
      <c r="I865" s="1"/>
    </row>
    <row r="866" spans="4:9" ht="20.25" customHeight="1">
      <c r="D866" s="640"/>
      <c r="E866" s="640"/>
      <c r="F866" s="1"/>
      <c r="G866" s="1"/>
      <c r="H866" s="640"/>
      <c r="I866" s="1"/>
    </row>
    <row r="867" spans="4:9" ht="20.25" customHeight="1">
      <c r="D867" s="640"/>
      <c r="E867" s="640"/>
      <c r="F867" s="1"/>
      <c r="G867" s="1"/>
      <c r="H867" s="640"/>
      <c r="I867" s="1"/>
    </row>
    <row r="868" spans="4:9" ht="20.25" customHeight="1">
      <c r="D868" s="640"/>
      <c r="E868" s="640"/>
      <c r="F868" s="1"/>
      <c r="G868" s="1"/>
      <c r="H868" s="640"/>
      <c r="I868" s="1"/>
    </row>
    <row r="869" spans="4:9" ht="20.25" customHeight="1">
      <c r="D869" s="640"/>
      <c r="E869" s="640"/>
      <c r="F869" s="1"/>
      <c r="G869" s="1"/>
      <c r="H869" s="640"/>
      <c r="I869" s="1"/>
    </row>
    <row r="870" spans="4:9" ht="20.25" customHeight="1">
      <c r="D870" s="640"/>
      <c r="E870" s="640"/>
      <c r="F870" s="1"/>
      <c r="G870" s="1"/>
      <c r="H870" s="640"/>
      <c r="I870" s="1"/>
    </row>
    <row r="871" spans="4:9" ht="20.25" customHeight="1">
      <c r="D871" s="640"/>
      <c r="E871" s="640"/>
      <c r="F871" s="1"/>
      <c r="G871" s="1"/>
      <c r="H871" s="640"/>
      <c r="I871" s="1"/>
    </row>
    <row r="872" spans="4:9" ht="20.25" customHeight="1">
      <c r="D872" s="640"/>
      <c r="E872" s="640"/>
      <c r="F872" s="1"/>
      <c r="G872" s="1"/>
      <c r="H872" s="640"/>
      <c r="I872" s="1"/>
    </row>
    <row r="873" spans="4:9" ht="20.25" customHeight="1">
      <c r="D873" s="640"/>
      <c r="E873" s="640"/>
      <c r="F873" s="1"/>
      <c r="G873" s="1"/>
      <c r="H873" s="640"/>
      <c r="I873" s="1"/>
    </row>
    <row r="874" spans="4:9" ht="20.25" customHeight="1">
      <c r="D874" s="640"/>
      <c r="E874" s="640"/>
      <c r="F874" s="1"/>
      <c r="G874" s="1"/>
      <c r="H874" s="640"/>
      <c r="I874" s="1"/>
    </row>
    <row r="875" spans="4:9" ht="20.25" customHeight="1">
      <c r="D875" s="640"/>
      <c r="E875" s="640"/>
      <c r="F875" s="1"/>
      <c r="G875" s="1"/>
      <c r="H875" s="640"/>
      <c r="I875" s="1"/>
    </row>
    <row r="876" spans="4:9" ht="20.25" customHeight="1">
      <c r="D876" s="640"/>
      <c r="E876" s="640"/>
      <c r="F876" s="1"/>
      <c r="G876" s="1"/>
      <c r="H876" s="640"/>
      <c r="I876" s="1"/>
    </row>
    <row r="877" spans="4:9" ht="20.25" customHeight="1">
      <c r="D877" s="640"/>
      <c r="E877" s="640"/>
      <c r="F877" s="1"/>
      <c r="G877" s="1"/>
      <c r="H877" s="640"/>
      <c r="I877" s="1"/>
    </row>
    <row r="878" spans="4:9" ht="20.25" customHeight="1">
      <c r="D878" s="640"/>
      <c r="E878" s="640"/>
      <c r="F878" s="1"/>
      <c r="G878" s="1"/>
      <c r="H878" s="640"/>
      <c r="I878" s="1"/>
    </row>
    <row r="879" spans="4:9" ht="20.25" customHeight="1">
      <c r="D879" s="640"/>
      <c r="E879" s="640"/>
      <c r="F879" s="1"/>
      <c r="G879" s="1"/>
      <c r="H879" s="640"/>
      <c r="I879" s="1"/>
    </row>
    <row r="880" spans="4:9" ht="20.25" customHeight="1">
      <c r="D880" s="640"/>
      <c r="E880" s="640"/>
      <c r="F880" s="1"/>
      <c r="G880" s="1"/>
      <c r="H880" s="640"/>
      <c r="I880" s="1"/>
    </row>
    <row r="881" spans="4:9" ht="20.25" customHeight="1">
      <c r="D881" s="640"/>
      <c r="E881" s="640"/>
      <c r="F881" s="1"/>
      <c r="G881" s="1"/>
      <c r="H881" s="640"/>
      <c r="I881" s="1"/>
    </row>
    <row r="882" spans="4:9" ht="20.25" customHeight="1">
      <c r="D882" s="640"/>
      <c r="E882" s="640"/>
      <c r="F882" s="1"/>
      <c r="G882" s="1"/>
      <c r="H882" s="640"/>
      <c r="I882" s="1"/>
    </row>
    <row r="883" spans="4:9" ht="20.25" customHeight="1">
      <c r="D883" s="640"/>
      <c r="E883" s="640"/>
      <c r="F883" s="1"/>
      <c r="G883" s="1"/>
      <c r="H883" s="640"/>
      <c r="I883" s="1"/>
    </row>
    <row r="884" spans="4:9" ht="20.25" customHeight="1">
      <c r="D884" s="640"/>
      <c r="E884" s="640"/>
      <c r="F884" s="1"/>
      <c r="G884" s="1"/>
      <c r="H884" s="640"/>
      <c r="I884" s="1"/>
    </row>
    <row r="885" spans="4:9" ht="20.25" customHeight="1">
      <c r="D885" s="640"/>
      <c r="E885" s="640"/>
      <c r="F885" s="1"/>
      <c r="G885" s="1"/>
      <c r="H885" s="640"/>
      <c r="I885" s="1"/>
    </row>
    <row r="886" spans="4:9" ht="20.25" customHeight="1">
      <c r="D886" s="640"/>
      <c r="E886" s="640"/>
      <c r="F886" s="1"/>
      <c r="G886" s="1"/>
      <c r="H886" s="640"/>
      <c r="I886" s="1"/>
    </row>
    <row r="887" spans="4:9" ht="20.25" customHeight="1">
      <c r="D887" s="640"/>
      <c r="E887" s="640"/>
      <c r="F887" s="1"/>
      <c r="G887" s="1"/>
      <c r="H887" s="640"/>
      <c r="I887" s="1"/>
    </row>
    <row r="888" spans="4:9" ht="20.25" customHeight="1">
      <c r="D888" s="640"/>
      <c r="E888" s="640"/>
      <c r="F888" s="1"/>
      <c r="G888" s="1"/>
      <c r="H888" s="640"/>
      <c r="I888" s="1"/>
    </row>
    <row r="889" spans="4:9" ht="20.25" customHeight="1">
      <c r="D889" s="640"/>
      <c r="E889" s="640"/>
      <c r="F889" s="1"/>
      <c r="G889" s="1"/>
      <c r="H889" s="640"/>
      <c r="I889" s="1"/>
    </row>
    <row r="890" spans="4:9" ht="20.25" customHeight="1">
      <c r="D890" s="640"/>
      <c r="E890" s="640"/>
      <c r="F890" s="1"/>
      <c r="G890" s="1"/>
      <c r="H890" s="640"/>
      <c r="I890" s="1"/>
    </row>
    <row r="891" spans="4:9" ht="20.25" customHeight="1">
      <c r="D891" s="640"/>
      <c r="E891" s="640"/>
      <c r="F891" s="1"/>
      <c r="G891" s="1"/>
      <c r="H891" s="640"/>
      <c r="I891" s="1"/>
    </row>
    <row r="892" spans="4:9" ht="20.25" customHeight="1">
      <c r="D892" s="640"/>
      <c r="E892" s="640"/>
      <c r="F892" s="1"/>
      <c r="G892" s="1"/>
      <c r="H892" s="640"/>
      <c r="I892" s="1"/>
    </row>
    <row r="893" spans="4:9" ht="20.25" customHeight="1">
      <c r="D893" s="640"/>
      <c r="E893" s="640"/>
      <c r="F893" s="1"/>
      <c r="G893" s="1"/>
      <c r="H893" s="640"/>
      <c r="I893" s="1"/>
    </row>
    <row r="894" spans="4:9" ht="20.25" customHeight="1">
      <c r="D894" s="640"/>
      <c r="E894" s="640"/>
      <c r="F894" s="1"/>
      <c r="G894" s="1"/>
      <c r="H894" s="640"/>
      <c r="I894" s="1"/>
    </row>
    <row r="895" spans="4:9" ht="20.25" customHeight="1">
      <c r="D895" s="640"/>
      <c r="E895" s="640"/>
      <c r="F895" s="1"/>
      <c r="G895" s="1"/>
      <c r="H895" s="640"/>
      <c r="I895" s="1"/>
    </row>
    <row r="896" spans="4:9" ht="20.25" customHeight="1">
      <c r="D896" s="640"/>
      <c r="E896" s="640"/>
      <c r="F896" s="1"/>
      <c r="G896" s="1"/>
      <c r="H896" s="640"/>
      <c r="I896" s="1"/>
    </row>
    <row r="897" spans="4:9" ht="20.25" customHeight="1">
      <c r="D897" s="640"/>
      <c r="E897" s="640"/>
      <c r="F897" s="1"/>
      <c r="G897" s="1"/>
      <c r="H897" s="640"/>
      <c r="I897" s="1"/>
    </row>
    <row r="898" spans="4:9" ht="20.25" customHeight="1">
      <c r="D898" s="640"/>
      <c r="E898" s="640"/>
      <c r="F898" s="1"/>
      <c r="G898" s="1"/>
      <c r="H898" s="640"/>
      <c r="I898" s="1"/>
    </row>
    <row r="899" spans="4:9" ht="20.25" customHeight="1">
      <c r="D899" s="640"/>
      <c r="E899" s="640"/>
      <c r="F899" s="1"/>
      <c r="G899" s="1"/>
      <c r="H899" s="640"/>
      <c r="I899" s="1"/>
    </row>
    <row r="900" spans="4:9" ht="20.25" customHeight="1">
      <c r="D900" s="640"/>
      <c r="E900" s="640"/>
      <c r="F900" s="1"/>
      <c r="G900" s="1"/>
      <c r="H900" s="640"/>
      <c r="I900" s="1"/>
    </row>
    <row r="901" spans="4:9" ht="20.25" customHeight="1">
      <c r="D901" s="640"/>
      <c r="E901" s="640"/>
      <c r="F901" s="1"/>
      <c r="G901" s="1"/>
      <c r="H901" s="640"/>
      <c r="I901" s="1"/>
    </row>
    <row r="902" spans="4:9" ht="20.25" customHeight="1">
      <c r="D902" s="640"/>
      <c r="E902" s="640"/>
      <c r="F902" s="1"/>
      <c r="G902" s="1"/>
      <c r="H902" s="640"/>
      <c r="I902" s="1"/>
    </row>
    <row r="903" spans="4:9" ht="20.25" customHeight="1">
      <c r="D903" s="640"/>
      <c r="E903" s="640"/>
      <c r="F903" s="1"/>
      <c r="G903" s="1"/>
      <c r="H903" s="640"/>
      <c r="I903" s="1"/>
    </row>
    <row r="904" spans="4:9" ht="20.25" customHeight="1">
      <c r="D904" s="640"/>
      <c r="E904" s="640"/>
      <c r="F904" s="1"/>
      <c r="G904" s="1"/>
      <c r="H904" s="640"/>
      <c r="I904" s="1"/>
    </row>
    <row r="905" spans="4:9" ht="20.25" customHeight="1">
      <c r="D905" s="640"/>
      <c r="E905" s="640"/>
      <c r="F905" s="1"/>
      <c r="G905" s="1"/>
      <c r="H905" s="640"/>
      <c r="I905" s="1"/>
    </row>
    <row r="906" spans="4:9" ht="20.25" customHeight="1">
      <c r="D906" s="640"/>
      <c r="E906" s="640"/>
      <c r="F906" s="1"/>
      <c r="G906" s="1"/>
      <c r="H906" s="640"/>
      <c r="I906" s="1"/>
    </row>
    <row r="907" spans="4:9" ht="20.25" customHeight="1">
      <c r="D907" s="640"/>
      <c r="E907" s="640"/>
      <c r="F907" s="1"/>
      <c r="G907" s="1"/>
      <c r="H907" s="640"/>
      <c r="I907" s="1"/>
    </row>
    <row r="908" spans="4:9" ht="20.25" customHeight="1">
      <c r="D908" s="640"/>
      <c r="E908" s="640"/>
      <c r="F908" s="1"/>
      <c r="G908" s="1"/>
      <c r="H908" s="640"/>
      <c r="I908" s="1"/>
    </row>
    <row r="909" spans="4:9" ht="20.25" customHeight="1">
      <c r="D909" s="640"/>
      <c r="E909" s="640"/>
      <c r="F909" s="1"/>
      <c r="G909" s="1"/>
      <c r="H909" s="640"/>
      <c r="I909" s="1"/>
    </row>
    <row r="910" spans="4:9" ht="20.25" customHeight="1">
      <c r="D910" s="640"/>
      <c r="E910" s="640"/>
      <c r="F910" s="1"/>
      <c r="G910" s="1"/>
      <c r="H910" s="640"/>
      <c r="I910" s="1"/>
    </row>
    <row r="911" spans="4:9" ht="20.25" customHeight="1">
      <c r="D911" s="640"/>
      <c r="E911" s="640"/>
      <c r="F911" s="1"/>
      <c r="G911" s="1"/>
      <c r="H911" s="640"/>
      <c r="I911" s="1"/>
    </row>
    <row r="912" spans="4:9" ht="20.25" customHeight="1">
      <c r="D912" s="640"/>
      <c r="E912" s="640"/>
      <c r="F912" s="1"/>
      <c r="G912" s="1"/>
      <c r="H912" s="640"/>
      <c r="I912" s="1"/>
    </row>
    <row r="913" spans="4:9" ht="20.25" customHeight="1">
      <c r="D913" s="640"/>
      <c r="E913" s="640"/>
      <c r="F913" s="1"/>
      <c r="G913" s="1"/>
      <c r="H913" s="640"/>
      <c r="I913" s="1"/>
    </row>
    <row r="914" spans="4:9" ht="20.25" customHeight="1">
      <c r="D914" s="640"/>
      <c r="E914" s="640"/>
      <c r="F914" s="1"/>
      <c r="G914" s="1"/>
      <c r="H914" s="640"/>
      <c r="I914" s="1"/>
    </row>
    <row r="915" spans="4:9" ht="20.25" customHeight="1">
      <c r="D915" s="640"/>
      <c r="E915" s="640"/>
      <c r="F915" s="1"/>
      <c r="G915" s="1"/>
      <c r="H915" s="640"/>
      <c r="I915" s="1"/>
    </row>
    <row r="916" spans="4:9" ht="20.25" customHeight="1">
      <c r="D916" s="640"/>
      <c r="E916" s="640"/>
      <c r="F916" s="1"/>
      <c r="G916" s="1"/>
      <c r="H916" s="640"/>
      <c r="I916" s="1"/>
    </row>
    <row r="917" spans="4:9" ht="20.25" customHeight="1">
      <c r="D917" s="640"/>
      <c r="E917" s="640"/>
      <c r="F917" s="1"/>
      <c r="G917" s="1"/>
      <c r="H917" s="640"/>
      <c r="I917" s="1"/>
    </row>
    <row r="918" spans="4:9" ht="20.25" customHeight="1">
      <c r="D918" s="640"/>
      <c r="E918" s="640"/>
      <c r="F918" s="1"/>
      <c r="G918" s="1"/>
      <c r="H918" s="640"/>
      <c r="I918" s="1"/>
    </row>
    <row r="919" spans="4:9" ht="20.25" customHeight="1">
      <c r="D919" s="640"/>
      <c r="E919" s="640"/>
      <c r="F919" s="1"/>
      <c r="G919" s="1"/>
      <c r="H919" s="640"/>
      <c r="I919" s="1"/>
    </row>
    <row r="920" spans="4:9" ht="20.25" customHeight="1">
      <c r="D920" s="640"/>
      <c r="E920" s="640"/>
      <c r="F920" s="1"/>
      <c r="G920" s="1"/>
      <c r="H920" s="640"/>
      <c r="I920" s="1"/>
    </row>
    <row r="921" spans="4:9" ht="20.25" customHeight="1">
      <c r="D921" s="640"/>
      <c r="E921" s="640"/>
      <c r="F921" s="1"/>
      <c r="G921" s="1"/>
      <c r="H921" s="640"/>
      <c r="I921" s="1"/>
    </row>
    <row r="922" spans="4:9" ht="20.25" customHeight="1">
      <c r="D922" s="640"/>
      <c r="E922" s="640"/>
      <c r="F922" s="1"/>
      <c r="G922" s="1"/>
      <c r="H922" s="640"/>
      <c r="I922" s="1"/>
    </row>
    <row r="923" spans="4:9" ht="20.25" customHeight="1">
      <c r="D923" s="640"/>
      <c r="E923" s="640"/>
      <c r="F923" s="1"/>
      <c r="G923" s="1"/>
      <c r="H923" s="640"/>
      <c r="I923" s="1"/>
    </row>
    <row r="924" spans="4:9" ht="20.25" customHeight="1">
      <c r="D924" s="640"/>
      <c r="E924" s="640"/>
      <c r="F924" s="1"/>
      <c r="G924" s="1"/>
      <c r="H924" s="640"/>
      <c r="I924" s="1"/>
    </row>
    <row r="925" spans="4:9" ht="20.25" customHeight="1">
      <c r="D925" s="640"/>
      <c r="E925" s="640"/>
      <c r="F925" s="1"/>
      <c r="G925" s="1"/>
      <c r="H925" s="640"/>
      <c r="I925" s="1"/>
    </row>
    <row r="926" spans="4:9" ht="20.25" customHeight="1">
      <c r="D926" s="640"/>
      <c r="E926" s="640"/>
      <c r="F926" s="1"/>
      <c r="G926" s="1"/>
      <c r="H926" s="640"/>
      <c r="I926" s="1"/>
    </row>
    <row r="927" spans="4:9" ht="20.25" customHeight="1">
      <c r="D927" s="640"/>
      <c r="E927" s="640"/>
      <c r="F927" s="1"/>
      <c r="G927" s="1"/>
      <c r="H927" s="640"/>
      <c r="I927" s="1"/>
    </row>
    <row r="928" spans="4:9" ht="20.25" customHeight="1">
      <c r="D928" s="640"/>
      <c r="E928" s="640"/>
      <c r="F928" s="1"/>
      <c r="G928" s="1"/>
      <c r="H928" s="640"/>
      <c r="I928" s="1"/>
    </row>
    <row r="929" spans="4:9" ht="20.25" customHeight="1">
      <c r="D929" s="640"/>
      <c r="E929" s="640"/>
      <c r="F929" s="1"/>
      <c r="G929" s="1"/>
      <c r="H929" s="640"/>
      <c r="I929" s="1"/>
    </row>
    <row r="930" spans="4:9" ht="20.25" customHeight="1">
      <c r="D930" s="640"/>
      <c r="E930" s="640"/>
      <c r="F930" s="1"/>
      <c r="G930" s="1"/>
      <c r="H930" s="640"/>
      <c r="I930" s="1"/>
    </row>
    <row r="931" spans="4:9" ht="20.25" customHeight="1">
      <c r="D931" s="640"/>
      <c r="E931" s="640"/>
      <c r="F931" s="1"/>
      <c r="G931" s="1"/>
      <c r="H931" s="640"/>
      <c r="I931" s="1"/>
    </row>
    <row r="932" spans="4:9" ht="20.25" customHeight="1">
      <c r="D932" s="640"/>
      <c r="E932" s="640"/>
      <c r="F932" s="1"/>
      <c r="G932" s="1"/>
      <c r="H932" s="640"/>
      <c r="I932" s="1"/>
    </row>
    <row r="933" spans="4:9" ht="20.25" customHeight="1">
      <c r="D933" s="640"/>
      <c r="E933" s="640"/>
      <c r="F933" s="1"/>
      <c r="G933" s="1"/>
      <c r="H933" s="640"/>
      <c r="I933" s="1"/>
    </row>
    <row r="934" spans="4:9" ht="20.25" customHeight="1">
      <c r="D934" s="640"/>
      <c r="E934" s="640"/>
      <c r="F934" s="1"/>
      <c r="G934" s="1"/>
      <c r="H934" s="640"/>
      <c r="I934" s="1"/>
    </row>
    <row r="935" spans="4:9" ht="20.25" customHeight="1">
      <c r="D935" s="640"/>
      <c r="E935" s="640"/>
      <c r="F935" s="1"/>
      <c r="G935" s="1"/>
      <c r="H935" s="640"/>
      <c r="I935" s="1"/>
    </row>
    <row r="936" spans="4:9" ht="20.25" customHeight="1">
      <c r="D936" s="640"/>
      <c r="E936" s="640"/>
      <c r="F936" s="1"/>
      <c r="G936" s="1"/>
      <c r="H936" s="640"/>
      <c r="I936" s="1"/>
    </row>
    <row r="937" spans="4:9" ht="20.25" customHeight="1">
      <c r="D937" s="640"/>
      <c r="E937" s="640"/>
      <c r="F937" s="1"/>
      <c r="G937" s="1"/>
      <c r="H937" s="640"/>
      <c r="I937" s="1"/>
    </row>
    <row r="938" spans="4:9" ht="20.25" customHeight="1">
      <c r="D938" s="640"/>
      <c r="E938" s="640"/>
      <c r="F938" s="1"/>
      <c r="G938" s="1"/>
      <c r="H938" s="640"/>
      <c r="I938" s="1"/>
    </row>
    <row r="939" spans="4:9" ht="20.25" customHeight="1">
      <c r="D939" s="640"/>
      <c r="E939" s="640"/>
      <c r="F939" s="1"/>
      <c r="G939" s="1"/>
      <c r="H939" s="640"/>
      <c r="I939" s="1"/>
    </row>
    <row r="940" spans="4:9" ht="20.25" customHeight="1">
      <c r="D940" s="640"/>
      <c r="E940" s="640"/>
      <c r="F940" s="1"/>
      <c r="G940" s="1"/>
      <c r="H940" s="640"/>
      <c r="I940" s="1"/>
    </row>
    <row r="941" spans="4:9" ht="20.25" customHeight="1">
      <c r="D941" s="640"/>
      <c r="E941" s="640"/>
      <c r="F941" s="1"/>
      <c r="G941" s="1"/>
      <c r="H941" s="640"/>
      <c r="I941" s="1"/>
    </row>
    <row r="942" spans="4:9" ht="20.25" customHeight="1">
      <c r="D942" s="640"/>
      <c r="E942" s="640"/>
      <c r="F942" s="1"/>
      <c r="G942" s="1"/>
      <c r="H942" s="640"/>
      <c r="I942" s="1"/>
    </row>
    <row r="943" spans="4:9" ht="20.25" customHeight="1">
      <c r="D943" s="640"/>
      <c r="E943" s="640"/>
      <c r="F943" s="1"/>
      <c r="G943" s="1"/>
      <c r="H943" s="640"/>
      <c r="I943" s="1"/>
    </row>
    <row r="944" spans="4:9" ht="20.25" customHeight="1">
      <c r="D944" s="640"/>
      <c r="E944" s="640"/>
      <c r="F944" s="1"/>
      <c r="G944" s="1"/>
      <c r="H944" s="640"/>
      <c r="I944" s="1"/>
    </row>
    <row r="945" spans="4:9" ht="20.25" customHeight="1">
      <c r="D945" s="640"/>
      <c r="E945" s="640"/>
      <c r="F945" s="1"/>
      <c r="G945" s="1"/>
      <c r="H945" s="640"/>
      <c r="I945" s="1"/>
    </row>
    <row r="946" spans="4:9" ht="20.25" customHeight="1">
      <c r="D946" s="640"/>
      <c r="E946" s="640"/>
      <c r="F946" s="1"/>
      <c r="G946" s="1"/>
      <c r="H946" s="640"/>
      <c r="I946" s="1"/>
    </row>
    <row r="947" spans="4:9" ht="20.25" customHeight="1">
      <c r="D947" s="640"/>
      <c r="E947" s="640"/>
      <c r="F947" s="1"/>
      <c r="G947" s="1"/>
      <c r="H947" s="640"/>
      <c r="I947" s="1"/>
    </row>
    <row r="948" spans="4:9" ht="20.25" customHeight="1">
      <c r="D948" s="640"/>
      <c r="E948" s="640"/>
      <c r="F948" s="1"/>
      <c r="G948" s="1"/>
      <c r="H948" s="640"/>
      <c r="I948" s="1"/>
    </row>
    <row r="949" spans="4:9" ht="20.25" customHeight="1">
      <c r="D949" s="640"/>
      <c r="E949" s="640"/>
      <c r="F949" s="1"/>
      <c r="G949" s="1"/>
      <c r="H949" s="640"/>
      <c r="I949" s="1"/>
    </row>
    <row r="950" spans="4:9" ht="20.25" customHeight="1">
      <c r="D950" s="640"/>
      <c r="E950" s="640"/>
      <c r="F950" s="1"/>
      <c r="G950" s="1"/>
      <c r="H950" s="640"/>
      <c r="I950" s="1"/>
    </row>
    <row r="951" spans="4:9" ht="20.25" customHeight="1">
      <c r="D951" s="640"/>
      <c r="E951" s="640"/>
      <c r="F951" s="1"/>
      <c r="G951" s="1"/>
      <c r="H951" s="640"/>
      <c r="I951" s="1"/>
    </row>
    <row r="952" spans="4:9" ht="20.25" customHeight="1">
      <c r="D952" s="640"/>
      <c r="E952" s="640"/>
      <c r="F952" s="1"/>
      <c r="G952" s="1"/>
      <c r="H952" s="640"/>
      <c r="I952" s="1"/>
    </row>
    <row r="953" spans="4:9" ht="20.25" customHeight="1">
      <c r="D953" s="640"/>
      <c r="E953" s="640"/>
      <c r="F953" s="1"/>
      <c r="G953" s="1"/>
      <c r="H953" s="640"/>
      <c r="I953" s="1"/>
    </row>
    <row r="954" spans="4:9" ht="20.25" customHeight="1">
      <c r="D954" s="640"/>
      <c r="E954" s="640"/>
      <c r="F954" s="1"/>
      <c r="G954" s="1"/>
      <c r="H954" s="640"/>
      <c r="I954" s="1"/>
    </row>
    <row r="955" spans="4:9" ht="20.25" customHeight="1">
      <c r="D955" s="640"/>
      <c r="E955" s="640"/>
      <c r="F955" s="1"/>
      <c r="G955" s="1"/>
      <c r="H955" s="640"/>
      <c r="I955" s="1"/>
    </row>
    <row r="956" spans="4:9" ht="20.25" customHeight="1">
      <c r="D956" s="640"/>
      <c r="E956" s="640"/>
      <c r="F956" s="1"/>
      <c r="G956" s="1"/>
      <c r="H956" s="640"/>
      <c r="I956" s="1"/>
    </row>
    <row r="957" spans="4:9" ht="20.25" customHeight="1">
      <c r="D957" s="640"/>
      <c r="E957" s="640"/>
      <c r="F957" s="1"/>
      <c r="G957" s="1"/>
      <c r="H957" s="640"/>
      <c r="I957" s="1"/>
    </row>
    <row r="958" spans="4:9" ht="20.25" customHeight="1">
      <c r="D958" s="640"/>
      <c r="E958" s="640"/>
      <c r="F958" s="1"/>
      <c r="G958" s="1"/>
      <c r="H958" s="640"/>
      <c r="I958" s="1"/>
    </row>
    <row r="959" spans="4:9" ht="20.25" customHeight="1">
      <c r="D959" s="640"/>
      <c r="E959" s="640"/>
      <c r="F959" s="1"/>
      <c r="G959" s="1"/>
      <c r="H959" s="640"/>
      <c r="I959" s="1"/>
    </row>
    <row r="960" spans="4:9" ht="20.25" customHeight="1">
      <c r="D960" s="640"/>
      <c r="E960" s="640"/>
      <c r="F960" s="1"/>
      <c r="G960" s="1"/>
      <c r="H960" s="640"/>
      <c r="I960" s="1"/>
    </row>
    <row r="961" spans="4:9" ht="20.25" customHeight="1">
      <c r="D961" s="640"/>
      <c r="E961" s="640"/>
      <c r="F961" s="1"/>
      <c r="G961" s="1"/>
      <c r="H961" s="640"/>
      <c r="I961" s="1"/>
    </row>
    <row r="962" spans="4:9" ht="20.25" customHeight="1">
      <c r="D962" s="640"/>
      <c r="E962" s="640"/>
      <c r="F962" s="1"/>
      <c r="G962" s="1"/>
      <c r="H962" s="640"/>
      <c r="I962" s="1"/>
    </row>
    <row r="963" spans="4:9" ht="20.25" customHeight="1">
      <c r="D963" s="640"/>
      <c r="E963" s="640"/>
      <c r="F963" s="1"/>
      <c r="G963" s="1"/>
      <c r="H963" s="640"/>
      <c r="I963" s="1"/>
    </row>
    <row r="964" spans="4:9" ht="20.25" customHeight="1">
      <c r="D964" s="640"/>
      <c r="E964" s="640"/>
      <c r="F964" s="1"/>
      <c r="G964" s="1"/>
      <c r="H964" s="640"/>
      <c r="I964" s="1"/>
    </row>
    <row r="965" spans="4:9" ht="20.25" customHeight="1">
      <c r="D965" s="640"/>
      <c r="E965" s="640"/>
      <c r="F965" s="1"/>
      <c r="G965" s="1"/>
      <c r="H965" s="640"/>
      <c r="I965" s="1"/>
    </row>
    <row r="966" spans="4:9" ht="20.25" customHeight="1">
      <c r="D966" s="640"/>
      <c r="E966" s="640"/>
      <c r="F966" s="1"/>
      <c r="G966" s="1"/>
      <c r="H966" s="640"/>
      <c r="I966" s="1"/>
    </row>
    <row r="967" spans="4:9" ht="20.25" customHeight="1">
      <c r="D967" s="640"/>
      <c r="E967" s="640"/>
      <c r="F967" s="1"/>
      <c r="G967" s="1"/>
      <c r="H967" s="640"/>
      <c r="I967" s="1"/>
    </row>
    <row r="968" spans="4:9" ht="20.25" customHeight="1">
      <c r="D968" s="640"/>
      <c r="E968" s="640"/>
      <c r="F968" s="1"/>
      <c r="G968" s="1"/>
      <c r="H968" s="640"/>
      <c r="I968" s="1"/>
    </row>
    <row r="969" spans="4:9" ht="20.25" customHeight="1">
      <c r="D969" s="640"/>
      <c r="E969" s="640"/>
      <c r="F969" s="1"/>
      <c r="G969" s="1"/>
      <c r="H969" s="640"/>
      <c r="I969" s="1"/>
    </row>
    <row r="970" spans="4:9" ht="20.25" customHeight="1">
      <c r="D970" s="640"/>
      <c r="E970" s="640"/>
      <c r="F970" s="1"/>
      <c r="G970" s="1"/>
      <c r="H970" s="640"/>
      <c r="I970" s="1"/>
    </row>
    <row r="971" spans="4:9" ht="20.25" customHeight="1">
      <c r="D971" s="640"/>
      <c r="E971" s="640"/>
      <c r="F971" s="1"/>
      <c r="G971" s="1"/>
      <c r="H971" s="640"/>
      <c r="I971" s="1"/>
    </row>
    <row r="972" spans="4:9" ht="20.25" customHeight="1">
      <c r="D972" s="640"/>
      <c r="E972" s="640"/>
      <c r="F972" s="1"/>
      <c r="G972" s="1"/>
      <c r="H972" s="640"/>
      <c r="I972" s="1"/>
    </row>
    <row r="973" spans="4:9" ht="20.25" customHeight="1">
      <c r="D973" s="640"/>
      <c r="E973" s="640"/>
      <c r="F973" s="1"/>
      <c r="G973" s="1"/>
      <c r="H973" s="640"/>
      <c r="I973" s="1"/>
    </row>
    <row r="974" spans="4:9" ht="20.25" customHeight="1">
      <c r="D974" s="640"/>
      <c r="E974" s="640"/>
      <c r="F974" s="1"/>
      <c r="G974" s="1"/>
      <c r="H974" s="640"/>
      <c r="I974" s="1"/>
    </row>
    <row r="975" spans="4:9" ht="20.25" customHeight="1">
      <c r="D975" s="640"/>
      <c r="E975" s="640"/>
      <c r="F975" s="1"/>
      <c r="G975" s="1"/>
      <c r="H975" s="640"/>
      <c r="I975" s="1"/>
    </row>
    <row r="976" spans="4:9" ht="20.25" customHeight="1">
      <c r="D976" s="640"/>
      <c r="E976" s="640"/>
      <c r="F976" s="1"/>
      <c r="G976" s="1"/>
      <c r="H976" s="640"/>
      <c r="I976" s="1"/>
    </row>
    <row r="977" spans="4:9" ht="20.25" customHeight="1">
      <c r="D977" s="640"/>
      <c r="E977" s="640"/>
      <c r="F977" s="1"/>
      <c r="G977" s="1"/>
      <c r="H977" s="640"/>
      <c r="I977" s="1"/>
    </row>
    <row r="978" spans="4:9" ht="20.25" customHeight="1">
      <c r="D978" s="640"/>
      <c r="E978" s="640"/>
      <c r="F978" s="1"/>
      <c r="G978" s="1"/>
      <c r="H978" s="640"/>
      <c r="I978" s="1"/>
    </row>
    <row r="979" spans="4:9" ht="20.25" customHeight="1">
      <c r="D979" s="640"/>
      <c r="E979" s="640"/>
      <c r="F979" s="1"/>
      <c r="G979" s="1"/>
      <c r="H979" s="640"/>
      <c r="I979" s="1"/>
    </row>
    <row r="980" spans="4:9" ht="20.25" customHeight="1">
      <c r="D980" s="640"/>
      <c r="E980" s="640"/>
      <c r="F980" s="1"/>
      <c r="G980" s="1"/>
      <c r="H980" s="640"/>
      <c r="I980" s="1"/>
    </row>
    <row r="981" spans="4:9" ht="20.25" customHeight="1">
      <c r="D981" s="640"/>
      <c r="E981" s="640"/>
      <c r="F981" s="1"/>
      <c r="G981" s="1"/>
      <c r="H981" s="640"/>
      <c r="I981" s="1"/>
    </row>
    <row r="982" spans="4:9" ht="20.25" customHeight="1">
      <c r="D982" s="640"/>
      <c r="E982" s="640"/>
      <c r="F982" s="1"/>
      <c r="G982" s="1"/>
      <c r="H982" s="640"/>
      <c r="I982" s="1"/>
    </row>
    <row r="983" spans="4:9" ht="20.25" customHeight="1">
      <c r="D983" s="640"/>
      <c r="E983" s="640"/>
      <c r="F983" s="1"/>
      <c r="G983" s="1"/>
      <c r="H983" s="640"/>
      <c r="I983" s="1"/>
    </row>
    <row r="984" spans="4:9" ht="20.25" customHeight="1">
      <c r="D984" s="640"/>
      <c r="E984" s="640"/>
      <c r="F984" s="1"/>
      <c r="G984" s="1"/>
      <c r="H984" s="640"/>
      <c r="I984" s="1"/>
    </row>
    <row r="985" spans="4:9" ht="20.25" customHeight="1">
      <c r="D985" s="640"/>
      <c r="E985" s="640"/>
      <c r="F985" s="1"/>
      <c r="G985" s="1"/>
      <c r="H985" s="640"/>
      <c r="I985" s="1"/>
    </row>
    <row r="986" spans="4:9" ht="20.25" customHeight="1">
      <c r="D986" s="640"/>
      <c r="E986" s="640"/>
      <c r="F986" s="1"/>
      <c r="G986" s="1"/>
      <c r="H986" s="640"/>
      <c r="I986" s="1"/>
    </row>
    <row r="987" spans="4:9" ht="20.25" customHeight="1">
      <c r="D987" s="640"/>
      <c r="E987" s="640"/>
      <c r="F987" s="1"/>
      <c r="G987" s="1"/>
      <c r="H987" s="640"/>
      <c r="I987" s="1"/>
    </row>
    <row r="988" spans="4:9" ht="20.25" customHeight="1">
      <c r="D988" s="640"/>
      <c r="E988" s="640"/>
      <c r="F988" s="1"/>
      <c r="G988" s="1"/>
      <c r="H988" s="640"/>
      <c r="I988" s="1"/>
    </row>
    <row r="989" spans="4:9" ht="20.25" customHeight="1">
      <c r="D989" s="640"/>
      <c r="E989" s="640"/>
      <c r="F989" s="1"/>
      <c r="G989" s="1"/>
      <c r="H989" s="640"/>
      <c r="I989" s="1"/>
    </row>
    <row r="990" spans="4:9" ht="20.25" customHeight="1">
      <c r="D990" s="640"/>
      <c r="E990" s="640"/>
      <c r="F990" s="1"/>
      <c r="G990" s="1"/>
      <c r="H990" s="640"/>
      <c r="I990" s="1"/>
    </row>
    <row r="991" spans="4:9" ht="20.25" customHeight="1">
      <c r="D991" s="640"/>
      <c r="E991" s="640"/>
      <c r="F991" s="1"/>
      <c r="G991" s="1"/>
      <c r="H991" s="640"/>
      <c r="I991" s="1"/>
    </row>
    <row r="992" spans="4:9" ht="20.25" customHeight="1">
      <c r="D992" s="640"/>
      <c r="E992" s="640"/>
      <c r="F992" s="1"/>
      <c r="G992" s="1"/>
      <c r="H992" s="640"/>
      <c r="I992" s="1"/>
    </row>
    <row r="993" spans="4:9" ht="20.25" customHeight="1">
      <c r="D993" s="640"/>
      <c r="E993" s="640"/>
      <c r="F993" s="1"/>
      <c r="G993" s="1"/>
      <c r="H993" s="640"/>
      <c r="I993" s="1"/>
    </row>
    <row r="994" spans="4:9" ht="20.25" customHeight="1">
      <c r="D994" s="640"/>
      <c r="E994" s="640"/>
      <c r="F994" s="1"/>
      <c r="G994" s="1"/>
      <c r="H994" s="640"/>
      <c r="I994" s="1"/>
    </row>
    <row r="995" spans="4:9" ht="20.25" customHeight="1">
      <c r="D995" s="640"/>
      <c r="E995" s="640"/>
      <c r="F995" s="1"/>
      <c r="G995" s="1"/>
      <c r="H995" s="640"/>
      <c r="I995" s="1"/>
    </row>
    <row r="996" spans="4:9" ht="20.25" customHeight="1">
      <c r="D996" s="640"/>
      <c r="E996" s="640"/>
      <c r="F996" s="1"/>
      <c r="G996" s="1"/>
      <c r="H996" s="640"/>
      <c r="I996" s="1"/>
    </row>
    <row r="997" spans="4:9" ht="20.25" customHeight="1">
      <c r="D997" s="640"/>
      <c r="E997" s="640"/>
      <c r="F997" s="1"/>
      <c r="G997" s="1"/>
      <c r="H997" s="640"/>
      <c r="I997" s="1"/>
    </row>
    <row r="998" spans="4:9" ht="20.25" customHeight="1">
      <c r="D998" s="640"/>
      <c r="E998" s="640"/>
      <c r="F998" s="1"/>
      <c r="G998" s="1"/>
      <c r="H998" s="640"/>
      <c r="I998" s="1"/>
    </row>
    <row r="999" spans="4:9" ht="20.25" customHeight="1">
      <c r="D999" s="640"/>
      <c r="E999" s="640"/>
      <c r="F999" s="1"/>
      <c r="G999" s="1"/>
      <c r="H999" s="640"/>
      <c r="I999" s="1"/>
    </row>
    <row r="1000" spans="4:9" ht="20.25" customHeight="1">
      <c r="D1000" s="640"/>
      <c r="E1000" s="640"/>
      <c r="F1000" s="1"/>
      <c r="G1000" s="1"/>
      <c r="H1000" s="640"/>
      <c r="I1000" s="1"/>
    </row>
    <row r="1001" spans="4:9" ht="20.25" customHeight="1">
      <c r="D1001" s="640"/>
      <c r="E1001" s="640"/>
      <c r="F1001" s="1"/>
      <c r="G1001" s="1"/>
      <c r="H1001" s="640"/>
      <c r="I1001" s="1"/>
    </row>
    <row r="1002" spans="4:9" ht="20.25" customHeight="1">
      <c r="D1002" s="640"/>
      <c r="E1002" s="640"/>
      <c r="F1002" s="1"/>
      <c r="G1002" s="1"/>
      <c r="H1002" s="640"/>
      <c r="I1002" s="1"/>
    </row>
    <row r="1003" spans="4:9" ht="20.25" customHeight="1">
      <c r="D1003" s="640"/>
      <c r="E1003" s="640"/>
      <c r="F1003" s="1"/>
      <c r="G1003" s="1"/>
      <c r="H1003" s="640"/>
      <c r="I1003" s="1"/>
    </row>
    <row r="1004" spans="4:9" ht="20.25" customHeight="1">
      <c r="D1004" s="640"/>
      <c r="E1004" s="640"/>
      <c r="F1004" s="1"/>
      <c r="G1004" s="1"/>
      <c r="H1004" s="640"/>
      <c r="I1004" s="1"/>
    </row>
    <row r="1005" spans="4:9" ht="20.25" customHeight="1">
      <c r="D1005" s="640"/>
      <c r="E1005" s="640"/>
      <c r="F1005" s="1"/>
      <c r="G1005" s="1"/>
      <c r="H1005" s="640"/>
      <c r="I1005" s="1"/>
    </row>
    <row r="1006" spans="4:9" ht="20.25" customHeight="1">
      <c r="D1006" s="640"/>
      <c r="E1006" s="640"/>
      <c r="F1006" s="1"/>
      <c r="G1006" s="1"/>
      <c r="H1006" s="640"/>
      <c r="I1006" s="1"/>
    </row>
    <row r="1007" spans="4:9" ht="20.25" customHeight="1">
      <c r="D1007" s="640"/>
      <c r="E1007" s="640"/>
      <c r="F1007" s="1"/>
      <c r="G1007" s="1"/>
      <c r="H1007" s="640"/>
      <c r="I1007" s="1"/>
    </row>
    <row r="1008" spans="4:9" ht="20.25" customHeight="1">
      <c r="D1008" s="640"/>
      <c r="E1008" s="640"/>
      <c r="F1008" s="1"/>
      <c r="G1008" s="1"/>
      <c r="H1008" s="640"/>
      <c r="I1008" s="1"/>
    </row>
    <row r="1009" spans="4:9" ht="20.25" customHeight="1">
      <c r="D1009" s="640"/>
      <c r="E1009" s="640"/>
      <c r="F1009" s="1"/>
      <c r="G1009" s="1"/>
      <c r="H1009" s="640"/>
      <c r="I1009" s="1"/>
    </row>
    <row r="1010" spans="4:9" ht="20.25" customHeight="1">
      <c r="D1010" s="640"/>
      <c r="E1010" s="640"/>
      <c r="F1010" s="1"/>
      <c r="G1010" s="1"/>
      <c r="H1010" s="640"/>
      <c r="I1010" s="1"/>
    </row>
    <row r="1011" spans="4:9" ht="20.25" customHeight="1">
      <c r="D1011" s="640"/>
      <c r="E1011" s="640"/>
      <c r="F1011" s="1"/>
      <c r="G1011" s="1"/>
      <c r="H1011" s="640"/>
      <c r="I1011" s="1"/>
    </row>
    <row r="1012" spans="4:9" ht="20.25" customHeight="1">
      <c r="D1012" s="640"/>
      <c r="E1012" s="640"/>
      <c r="F1012" s="1"/>
      <c r="G1012" s="1"/>
      <c r="H1012" s="640"/>
      <c r="I1012" s="1"/>
    </row>
    <row r="1013" spans="4:9" ht="20.25" customHeight="1">
      <c r="D1013" s="640"/>
      <c r="E1013" s="640"/>
      <c r="F1013" s="1"/>
      <c r="G1013" s="1"/>
      <c r="H1013" s="640"/>
      <c r="I1013" s="1"/>
    </row>
    <row r="1014" spans="4:9" ht="20.25" customHeight="1">
      <c r="D1014" s="640"/>
      <c r="E1014" s="640"/>
      <c r="F1014" s="1"/>
      <c r="G1014" s="1"/>
      <c r="H1014" s="640"/>
      <c r="I1014" s="1"/>
    </row>
    <row r="1015" spans="4:9" ht="20.25" customHeight="1">
      <c r="D1015" s="640"/>
      <c r="E1015" s="640"/>
      <c r="F1015" s="1"/>
      <c r="G1015" s="1"/>
      <c r="H1015" s="640"/>
      <c r="I1015" s="1"/>
    </row>
    <row r="1016" spans="4:9" ht="20.25" customHeight="1">
      <c r="D1016" s="640"/>
      <c r="E1016" s="640"/>
      <c r="F1016" s="1"/>
      <c r="G1016" s="1"/>
      <c r="H1016" s="640"/>
      <c r="I1016" s="1"/>
    </row>
    <row r="1017" spans="4:9" ht="20.25" customHeight="1">
      <c r="D1017" s="640"/>
      <c r="E1017" s="640"/>
      <c r="F1017" s="1"/>
      <c r="G1017" s="1"/>
      <c r="H1017" s="640"/>
      <c r="I1017" s="1"/>
    </row>
    <row r="1018" spans="4:9" ht="20.25" customHeight="1">
      <c r="D1018" s="640"/>
      <c r="E1018" s="640"/>
      <c r="F1018" s="1"/>
      <c r="G1018" s="1"/>
      <c r="H1018" s="640"/>
      <c r="I1018" s="1"/>
    </row>
    <row r="1019" spans="4:9" ht="20.25" customHeight="1">
      <c r="D1019" s="640"/>
      <c r="E1019" s="640"/>
      <c r="F1019" s="1"/>
      <c r="G1019" s="1"/>
      <c r="H1019" s="640"/>
      <c r="I1019" s="1"/>
    </row>
    <row r="1020" spans="4:9" ht="20.25" customHeight="1">
      <c r="D1020" s="640"/>
      <c r="E1020" s="640"/>
      <c r="F1020" s="1"/>
      <c r="G1020" s="1"/>
      <c r="H1020" s="640"/>
      <c r="I1020" s="1"/>
    </row>
    <row r="1021" spans="4:9" ht="20.25" customHeight="1">
      <c r="D1021" s="640"/>
      <c r="E1021" s="640"/>
      <c r="F1021" s="1"/>
      <c r="G1021" s="1"/>
      <c r="H1021" s="640"/>
      <c r="I1021" s="1"/>
    </row>
    <row r="1022" spans="4:9" ht="20.25" customHeight="1">
      <c r="D1022" s="640"/>
      <c r="E1022" s="640"/>
      <c r="F1022" s="1"/>
      <c r="G1022" s="1"/>
      <c r="H1022" s="640"/>
      <c r="I1022" s="1"/>
    </row>
    <row r="1023" spans="4:9" ht="20.25" customHeight="1">
      <c r="D1023" s="640"/>
      <c r="E1023" s="640"/>
      <c r="F1023" s="1"/>
      <c r="G1023" s="1"/>
      <c r="H1023" s="640"/>
      <c r="I1023" s="1"/>
    </row>
    <row r="1024" spans="4:9" ht="20.25" customHeight="1">
      <c r="D1024" s="640"/>
      <c r="E1024" s="640"/>
      <c r="F1024" s="1"/>
      <c r="G1024" s="1"/>
      <c r="H1024" s="640"/>
      <c r="I1024" s="1"/>
    </row>
    <row r="1025" spans="4:9" ht="20.25" customHeight="1">
      <c r="D1025" s="640"/>
      <c r="E1025" s="640"/>
      <c r="F1025" s="1"/>
      <c r="G1025" s="1"/>
      <c r="H1025" s="640"/>
      <c r="I1025" s="1"/>
    </row>
    <row r="1026" spans="4:9" ht="20.25" customHeight="1">
      <c r="D1026" s="640"/>
      <c r="E1026" s="640"/>
      <c r="F1026" s="1"/>
      <c r="G1026" s="1"/>
      <c r="H1026" s="640"/>
      <c r="I1026" s="1"/>
    </row>
    <row r="1027" spans="4:9" ht="20.25" customHeight="1">
      <c r="D1027" s="640"/>
      <c r="E1027" s="640"/>
      <c r="F1027" s="1"/>
      <c r="G1027" s="1"/>
      <c r="H1027" s="640"/>
      <c r="I1027" s="1"/>
    </row>
    <row r="1028" spans="4:9" ht="20.25" customHeight="1">
      <c r="D1028" s="640"/>
      <c r="E1028" s="640"/>
      <c r="F1028" s="1"/>
      <c r="G1028" s="1"/>
      <c r="H1028" s="640"/>
      <c r="I1028" s="1"/>
    </row>
    <row r="1029" spans="4:9" ht="20.25" customHeight="1">
      <c r="D1029" s="640"/>
      <c r="E1029" s="640"/>
      <c r="F1029" s="1"/>
      <c r="G1029" s="1"/>
      <c r="H1029" s="640"/>
      <c r="I1029" s="1"/>
    </row>
    <row r="1030" spans="4:9" ht="20.25" customHeight="1">
      <c r="D1030" s="640"/>
      <c r="E1030" s="640"/>
      <c r="F1030" s="1"/>
      <c r="G1030" s="1"/>
      <c r="H1030" s="640"/>
      <c r="I1030" s="1"/>
    </row>
    <row r="1031" spans="4:9" ht="20.25" customHeight="1">
      <c r="D1031" s="640"/>
      <c r="E1031" s="640"/>
      <c r="F1031" s="1"/>
      <c r="G1031" s="1"/>
      <c r="H1031" s="640"/>
      <c r="I1031" s="1"/>
    </row>
    <row r="1032" spans="4:9" ht="20.25" customHeight="1">
      <c r="D1032" s="640"/>
      <c r="E1032" s="640"/>
      <c r="F1032" s="1"/>
      <c r="G1032" s="1"/>
      <c r="H1032" s="640"/>
      <c r="I1032" s="1"/>
    </row>
    <row r="1033" spans="4:9" ht="20.25" customHeight="1">
      <c r="D1033" s="640"/>
      <c r="E1033" s="640"/>
      <c r="F1033" s="1"/>
      <c r="G1033" s="1"/>
      <c r="H1033" s="640"/>
      <c r="I1033" s="1"/>
    </row>
    <row r="1034" spans="4:9" ht="20.25" customHeight="1">
      <c r="D1034" s="640"/>
      <c r="E1034" s="640"/>
      <c r="F1034" s="1"/>
      <c r="G1034" s="1"/>
      <c r="H1034" s="640"/>
      <c r="I1034" s="1"/>
    </row>
    <row r="1035" spans="4:9" ht="20.25" customHeight="1">
      <c r="D1035" s="640"/>
      <c r="E1035" s="640"/>
      <c r="F1035" s="1"/>
      <c r="G1035" s="1"/>
      <c r="H1035" s="640"/>
      <c r="I1035" s="1"/>
    </row>
    <row r="1036" spans="4:9" ht="20.25" customHeight="1">
      <c r="D1036" s="640"/>
      <c r="E1036" s="640"/>
      <c r="F1036" s="1"/>
      <c r="G1036" s="1"/>
      <c r="H1036" s="640"/>
      <c r="I1036" s="1"/>
    </row>
    <row r="1037" spans="4:9" ht="20.25" customHeight="1">
      <c r="D1037" s="640"/>
      <c r="E1037" s="640"/>
      <c r="F1037" s="1"/>
      <c r="G1037" s="1"/>
      <c r="H1037" s="640"/>
      <c r="I1037" s="1"/>
    </row>
    <row r="1038" spans="4:9" ht="20.25" customHeight="1">
      <c r="D1038" s="640"/>
      <c r="E1038" s="640"/>
      <c r="F1038" s="1"/>
      <c r="G1038" s="1"/>
      <c r="H1038" s="640"/>
      <c r="I1038" s="1"/>
    </row>
    <row r="1039" spans="4:9" ht="20.25" customHeight="1">
      <c r="D1039" s="640"/>
      <c r="E1039" s="640"/>
      <c r="F1039" s="1"/>
      <c r="G1039" s="1"/>
      <c r="H1039" s="640"/>
      <c r="I1039" s="1"/>
    </row>
    <row r="1040" spans="4:9" ht="20.25" customHeight="1">
      <c r="D1040" s="640"/>
      <c r="E1040" s="640"/>
      <c r="F1040" s="1"/>
      <c r="G1040" s="1"/>
      <c r="H1040" s="640"/>
      <c r="I1040" s="1"/>
    </row>
    <row r="1041" spans="4:9" ht="20.25" customHeight="1">
      <c r="D1041" s="640"/>
      <c r="E1041" s="640"/>
      <c r="F1041" s="1"/>
      <c r="G1041" s="1"/>
      <c r="H1041" s="640"/>
      <c r="I1041" s="1"/>
    </row>
    <row r="1042" spans="4:9" ht="20.25" customHeight="1">
      <c r="D1042" s="640"/>
      <c r="E1042" s="640"/>
      <c r="F1042" s="1"/>
      <c r="G1042" s="1"/>
      <c r="H1042" s="640"/>
      <c r="I1042" s="1"/>
    </row>
    <row r="1043" spans="4:9" ht="20.25" customHeight="1">
      <c r="D1043" s="640"/>
      <c r="E1043" s="640"/>
      <c r="F1043" s="1"/>
      <c r="G1043" s="1"/>
      <c r="H1043" s="640"/>
      <c r="I1043" s="1"/>
    </row>
    <row r="1044" spans="4:9" ht="20.25" customHeight="1">
      <c r="D1044" s="640"/>
      <c r="E1044" s="640"/>
      <c r="F1044" s="1"/>
      <c r="G1044" s="1"/>
      <c r="H1044" s="640"/>
      <c r="I1044" s="1"/>
    </row>
    <row r="1045" spans="4:9" ht="20.25" customHeight="1">
      <c r="D1045" s="640"/>
      <c r="E1045" s="640"/>
      <c r="F1045" s="1"/>
      <c r="G1045" s="1"/>
      <c r="H1045" s="640"/>
      <c r="I1045" s="1"/>
    </row>
    <row r="1046" spans="4:9" ht="20.25" customHeight="1">
      <c r="D1046" s="640"/>
      <c r="E1046" s="640"/>
      <c r="F1046" s="1"/>
      <c r="G1046" s="1"/>
      <c r="H1046" s="640"/>
      <c r="I1046" s="1"/>
    </row>
    <row r="1047" spans="4:9" ht="20.25" customHeight="1">
      <c r="D1047" s="640"/>
      <c r="E1047" s="640"/>
      <c r="F1047" s="1"/>
      <c r="G1047" s="1"/>
      <c r="H1047" s="640"/>
      <c r="I1047" s="1"/>
    </row>
    <row r="1048" spans="4:9" ht="20.25" customHeight="1">
      <c r="D1048" s="640"/>
      <c r="E1048" s="640"/>
      <c r="F1048" s="1"/>
      <c r="G1048" s="1"/>
      <c r="H1048" s="640"/>
      <c r="I1048" s="1"/>
    </row>
    <row r="1049" spans="4:9" ht="20.25" customHeight="1">
      <c r="D1049" s="640"/>
      <c r="E1049" s="640"/>
      <c r="F1049" s="1"/>
      <c r="G1049" s="1"/>
      <c r="H1049" s="640"/>
      <c r="I1049" s="1"/>
    </row>
    <row r="1050" spans="4:9" ht="20.25" customHeight="1">
      <c r="D1050" s="640"/>
      <c r="E1050" s="640"/>
      <c r="F1050" s="1"/>
      <c r="G1050" s="1"/>
      <c r="H1050" s="640"/>
      <c r="I1050" s="1"/>
    </row>
    <row r="1051" spans="4:9" ht="20.25" customHeight="1">
      <c r="D1051" s="640"/>
      <c r="E1051" s="640"/>
      <c r="F1051" s="1"/>
      <c r="G1051" s="1"/>
      <c r="H1051" s="640"/>
      <c r="I1051" s="1"/>
    </row>
    <row r="1052" spans="4:9" ht="20.25" customHeight="1">
      <c r="D1052" s="640"/>
      <c r="E1052" s="640"/>
      <c r="F1052" s="1"/>
      <c r="G1052" s="1"/>
      <c r="H1052" s="640"/>
      <c r="I1052" s="1"/>
    </row>
    <row r="1053" spans="4:9" ht="20.25" customHeight="1">
      <c r="D1053" s="640"/>
      <c r="E1053" s="640"/>
      <c r="F1053" s="1"/>
      <c r="G1053" s="1"/>
      <c r="H1053" s="640"/>
      <c r="I1053" s="1"/>
    </row>
    <row r="1054" spans="4:9" ht="20.25" customHeight="1">
      <c r="D1054" s="640"/>
      <c r="E1054" s="640"/>
      <c r="F1054" s="1"/>
      <c r="G1054" s="1"/>
      <c r="H1054" s="640"/>
      <c r="I1054" s="1"/>
    </row>
    <row r="1055" spans="4:9" ht="20.25" customHeight="1">
      <c r="D1055" s="640"/>
      <c r="E1055" s="640"/>
      <c r="F1055" s="1"/>
      <c r="G1055" s="1"/>
      <c r="H1055" s="640"/>
      <c r="I1055" s="1"/>
    </row>
    <row r="1056" spans="4:9" ht="20.25" customHeight="1">
      <c r="D1056" s="640"/>
      <c r="E1056" s="640"/>
      <c r="F1056" s="1"/>
      <c r="G1056" s="1"/>
      <c r="H1056" s="640"/>
      <c r="I1056" s="1"/>
    </row>
    <row r="1057" spans="4:9" ht="20.25" customHeight="1">
      <c r="D1057" s="640"/>
      <c r="E1057" s="640"/>
      <c r="F1057" s="1"/>
      <c r="G1057" s="1"/>
      <c r="H1057" s="640"/>
      <c r="I1057" s="1"/>
    </row>
    <row r="1058" spans="4:9" ht="20.25" customHeight="1">
      <c r="D1058" s="640"/>
      <c r="E1058" s="640"/>
      <c r="F1058" s="1"/>
      <c r="G1058" s="1"/>
      <c r="H1058" s="640"/>
      <c r="I1058" s="1"/>
    </row>
    <row r="1059" spans="4:9" ht="20.25" customHeight="1">
      <c r="D1059" s="640"/>
      <c r="E1059" s="640"/>
      <c r="F1059" s="1"/>
      <c r="G1059" s="1"/>
      <c r="H1059" s="640"/>
      <c r="I1059" s="1"/>
    </row>
    <row r="1060" spans="4:9" ht="20.25" customHeight="1">
      <c r="D1060" s="640"/>
      <c r="E1060" s="640"/>
      <c r="F1060" s="1"/>
      <c r="G1060" s="1"/>
      <c r="H1060" s="640"/>
      <c r="I1060" s="1"/>
    </row>
    <row r="1061" spans="4:9" ht="20.25" customHeight="1">
      <c r="D1061" s="640"/>
      <c r="E1061" s="640"/>
      <c r="F1061" s="1"/>
      <c r="G1061" s="1"/>
      <c r="H1061" s="640"/>
      <c r="I1061" s="1"/>
    </row>
    <row r="1062" spans="4:9" ht="20.25" customHeight="1">
      <c r="D1062" s="640"/>
      <c r="E1062" s="640"/>
      <c r="F1062" s="1"/>
      <c r="G1062" s="1"/>
      <c r="H1062" s="640"/>
      <c r="I1062" s="1"/>
    </row>
    <row r="1063" spans="4:9" ht="20.25" customHeight="1">
      <c r="D1063" s="640"/>
      <c r="E1063" s="640"/>
      <c r="F1063" s="1"/>
      <c r="G1063" s="1"/>
      <c r="H1063" s="640"/>
      <c r="I1063" s="1"/>
    </row>
    <row r="1064" spans="4:9" ht="20.25" customHeight="1">
      <c r="D1064" s="640"/>
      <c r="E1064" s="640"/>
      <c r="F1064" s="1"/>
      <c r="G1064" s="1"/>
      <c r="H1064" s="640"/>
      <c r="I1064" s="1"/>
    </row>
    <row r="1065" spans="4:9" ht="20.25" customHeight="1">
      <c r="D1065" s="640"/>
      <c r="E1065" s="640"/>
      <c r="F1065" s="1"/>
      <c r="G1065" s="1"/>
      <c r="H1065" s="640"/>
      <c r="I1065" s="1"/>
    </row>
    <row r="1066" spans="4:9" ht="20.25" customHeight="1">
      <c r="D1066" s="640"/>
      <c r="E1066" s="640"/>
      <c r="F1066" s="1"/>
      <c r="G1066" s="1"/>
      <c r="H1066" s="640"/>
      <c r="I1066" s="1"/>
    </row>
    <row r="1067" spans="4:9" ht="20.25" customHeight="1">
      <c r="D1067" s="640"/>
      <c r="E1067" s="640"/>
      <c r="F1067" s="1"/>
      <c r="G1067" s="1"/>
      <c r="H1067" s="640"/>
      <c r="I1067" s="1"/>
    </row>
    <row r="1068" spans="4:9" ht="20.25" customHeight="1">
      <c r="D1068" s="640"/>
      <c r="E1068" s="640"/>
      <c r="F1068" s="1"/>
      <c r="G1068" s="1"/>
      <c r="H1068" s="640"/>
      <c r="I1068" s="1"/>
    </row>
    <row r="1069" spans="4:9" ht="20.25" customHeight="1">
      <c r="D1069" s="640"/>
      <c r="E1069" s="640"/>
      <c r="F1069" s="1"/>
      <c r="G1069" s="1"/>
      <c r="H1069" s="640"/>
      <c r="I1069" s="1"/>
    </row>
    <row r="1070" spans="4:9" ht="20.25" customHeight="1">
      <c r="D1070" s="640"/>
      <c r="E1070" s="640"/>
      <c r="F1070" s="1"/>
      <c r="G1070" s="1"/>
      <c r="H1070" s="640"/>
      <c r="I1070" s="1"/>
    </row>
    <row r="1071" spans="4:9" ht="20.25" customHeight="1">
      <c r="D1071" s="640"/>
      <c r="E1071" s="640"/>
      <c r="F1071" s="1"/>
      <c r="G1071" s="1"/>
      <c r="H1071" s="640"/>
      <c r="I1071" s="1"/>
    </row>
    <row r="1072" spans="4:9" ht="20.25" customHeight="1">
      <c r="D1072" s="640"/>
      <c r="E1072" s="640"/>
      <c r="F1072" s="1"/>
      <c r="G1072" s="1"/>
      <c r="H1072" s="640"/>
      <c r="I1072" s="1"/>
    </row>
    <row r="1073" spans="4:9" ht="20.25" customHeight="1">
      <c r="D1073" s="640"/>
      <c r="E1073" s="640"/>
      <c r="F1073" s="1"/>
      <c r="G1073" s="1"/>
      <c r="H1073" s="640"/>
      <c r="I1073" s="1"/>
    </row>
    <row r="1074" spans="4:9" ht="20.25" customHeight="1">
      <c r="D1074" s="640"/>
      <c r="E1074" s="640"/>
      <c r="F1074" s="1"/>
      <c r="G1074" s="1"/>
      <c r="H1074" s="640"/>
      <c r="I1074" s="1"/>
    </row>
    <row r="1075" spans="4:9" ht="20.25" customHeight="1">
      <c r="D1075" s="640"/>
      <c r="E1075" s="640"/>
      <c r="F1075" s="1"/>
      <c r="G1075" s="1"/>
      <c r="H1075" s="640"/>
      <c r="I1075" s="1"/>
    </row>
    <row r="1076" spans="4:9" ht="20.25" customHeight="1">
      <c r="D1076" s="640"/>
      <c r="E1076" s="640"/>
      <c r="F1076" s="1"/>
      <c r="G1076" s="1"/>
      <c r="H1076" s="640"/>
      <c r="I1076" s="1"/>
    </row>
    <row r="1077" spans="4:9" ht="20.25" customHeight="1">
      <c r="D1077" s="640"/>
      <c r="E1077" s="640"/>
      <c r="F1077" s="1"/>
      <c r="G1077" s="1"/>
      <c r="H1077" s="640"/>
      <c r="I1077" s="1"/>
    </row>
    <row r="1078" spans="4:9" ht="20.25" customHeight="1">
      <c r="D1078" s="640"/>
      <c r="E1078" s="640"/>
      <c r="F1078" s="1"/>
      <c r="G1078" s="1"/>
      <c r="H1078" s="640"/>
      <c r="I1078" s="1"/>
    </row>
    <row r="1079" spans="4:9" ht="20.25" customHeight="1">
      <c r="D1079" s="640"/>
      <c r="E1079" s="640"/>
      <c r="F1079" s="1"/>
      <c r="G1079" s="1"/>
      <c r="H1079" s="640"/>
      <c r="I1079" s="1"/>
    </row>
    <row r="1080" spans="4:9" ht="20.25" customHeight="1">
      <c r="D1080" s="640"/>
      <c r="E1080" s="640"/>
      <c r="F1080" s="1"/>
      <c r="G1080" s="1"/>
      <c r="H1080" s="640"/>
      <c r="I1080" s="1"/>
    </row>
    <row r="1081" spans="4:9" ht="20.25" customHeight="1">
      <c r="D1081" s="640"/>
      <c r="E1081" s="640"/>
      <c r="F1081" s="1"/>
      <c r="G1081" s="1"/>
      <c r="H1081" s="640"/>
      <c r="I1081" s="1"/>
    </row>
    <row r="1082" spans="4:9" ht="20.25" customHeight="1">
      <c r="D1082" s="640"/>
      <c r="E1082" s="640"/>
      <c r="F1082" s="1"/>
      <c r="G1082" s="1"/>
      <c r="H1082" s="640"/>
      <c r="I1082" s="1"/>
    </row>
    <row r="1083" spans="4:9" ht="20.25" customHeight="1">
      <c r="D1083" s="640"/>
      <c r="E1083" s="640"/>
      <c r="F1083" s="1"/>
      <c r="G1083" s="1"/>
      <c r="H1083" s="640"/>
      <c r="I1083" s="1"/>
    </row>
    <row r="1084" spans="4:9" ht="20.25" customHeight="1">
      <c r="D1084" s="640"/>
      <c r="E1084" s="640"/>
      <c r="F1084" s="1"/>
      <c r="G1084" s="1"/>
      <c r="H1084" s="640"/>
      <c r="I1084" s="1"/>
    </row>
    <row r="1085" spans="4:9" ht="20.25" customHeight="1">
      <c r="D1085" s="640"/>
      <c r="E1085" s="640"/>
      <c r="F1085" s="1"/>
      <c r="G1085" s="1"/>
      <c r="H1085" s="640"/>
      <c r="I1085" s="1"/>
    </row>
    <row r="1086" spans="4:9" ht="20.25" customHeight="1">
      <c r="D1086" s="640"/>
      <c r="E1086" s="640"/>
      <c r="F1086" s="1"/>
      <c r="G1086" s="1"/>
      <c r="H1086" s="640"/>
      <c r="I1086" s="1"/>
    </row>
    <row r="1087" spans="4:9" ht="20.25" customHeight="1">
      <c r="D1087" s="640"/>
      <c r="E1087" s="640"/>
      <c r="F1087" s="1"/>
      <c r="G1087" s="1"/>
      <c r="H1087" s="640"/>
      <c r="I1087" s="1"/>
    </row>
    <row r="1088" spans="4:9" ht="20.25" customHeight="1">
      <c r="D1088" s="640"/>
      <c r="E1088" s="640"/>
      <c r="F1088" s="1"/>
      <c r="G1088" s="1"/>
      <c r="H1088" s="640"/>
      <c r="I1088" s="1"/>
    </row>
    <row r="1089" spans="4:9" ht="20.25" customHeight="1">
      <c r="D1089" s="640"/>
      <c r="E1089" s="640"/>
      <c r="F1089" s="1"/>
      <c r="G1089" s="1"/>
      <c r="H1089" s="640"/>
      <c r="I1089" s="1"/>
    </row>
    <row r="1090" spans="4:9" ht="20.25" customHeight="1">
      <c r="D1090" s="640"/>
      <c r="E1090" s="640"/>
      <c r="F1090" s="1"/>
      <c r="G1090" s="1"/>
      <c r="H1090" s="640"/>
      <c r="I1090" s="1"/>
    </row>
    <row r="1091" spans="4:9" ht="20.25" customHeight="1">
      <c r="D1091" s="640"/>
      <c r="E1091" s="640"/>
      <c r="F1091" s="1"/>
      <c r="G1091" s="1"/>
      <c r="H1091" s="640"/>
      <c r="I1091" s="1"/>
    </row>
    <row r="1092" spans="4:9" ht="20.25" customHeight="1">
      <c r="D1092" s="640"/>
      <c r="E1092" s="640"/>
      <c r="F1092" s="1"/>
      <c r="G1092" s="1"/>
      <c r="H1092" s="640"/>
      <c r="I1092" s="1"/>
    </row>
    <row r="1093" spans="4:9" ht="20.25" customHeight="1">
      <c r="D1093" s="640"/>
      <c r="E1093" s="640"/>
      <c r="F1093" s="1"/>
      <c r="G1093" s="1"/>
      <c r="H1093" s="640"/>
      <c r="I1093" s="1"/>
    </row>
    <row r="1094" spans="4:9" ht="20.25" customHeight="1">
      <c r="D1094" s="640"/>
      <c r="E1094" s="640"/>
      <c r="F1094" s="1"/>
      <c r="G1094" s="1"/>
      <c r="H1094" s="640"/>
      <c r="I1094" s="1"/>
    </row>
    <row r="1095" spans="4:9" ht="20.25" customHeight="1">
      <c r="D1095" s="640"/>
      <c r="E1095" s="640"/>
      <c r="F1095" s="1"/>
      <c r="G1095" s="1"/>
      <c r="H1095" s="640"/>
      <c r="I1095" s="1"/>
    </row>
    <row r="1096" spans="4:9" ht="20.25" customHeight="1">
      <c r="D1096" s="640"/>
      <c r="E1096" s="640"/>
      <c r="F1096" s="1"/>
      <c r="G1096" s="1"/>
      <c r="H1096" s="640"/>
      <c r="I1096" s="1"/>
    </row>
    <row r="1097" spans="4:9" ht="20.25" customHeight="1">
      <c r="D1097" s="640"/>
      <c r="E1097" s="640"/>
      <c r="F1097" s="1"/>
      <c r="G1097" s="1"/>
      <c r="H1097" s="640"/>
      <c r="I1097" s="1"/>
    </row>
    <row r="1098" spans="4:9" ht="20.25" customHeight="1">
      <c r="D1098" s="640"/>
      <c r="E1098" s="640"/>
      <c r="F1098" s="1"/>
      <c r="G1098" s="1"/>
      <c r="H1098" s="640"/>
      <c r="I1098" s="1"/>
    </row>
    <row r="1099" spans="4:9" ht="20.25" customHeight="1">
      <c r="D1099" s="640"/>
      <c r="E1099" s="640"/>
      <c r="F1099" s="1"/>
      <c r="G1099" s="1"/>
      <c r="H1099" s="640"/>
      <c r="I1099" s="1"/>
    </row>
    <row r="1100" spans="4:9" ht="20.25" customHeight="1">
      <c r="D1100" s="640"/>
      <c r="E1100" s="640"/>
      <c r="F1100" s="1"/>
      <c r="G1100" s="1"/>
      <c r="H1100" s="640"/>
      <c r="I1100" s="1"/>
    </row>
    <row r="1101" spans="4:9" ht="20.25" customHeight="1">
      <c r="D1101" s="640"/>
      <c r="E1101" s="640"/>
      <c r="F1101" s="1"/>
      <c r="G1101" s="1"/>
      <c r="H1101" s="640"/>
      <c r="I1101" s="1"/>
    </row>
    <row r="1102" spans="4:9" ht="20.25" customHeight="1">
      <c r="D1102" s="640"/>
      <c r="E1102" s="640"/>
      <c r="F1102" s="1"/>
      <c r="G1102" s="1"/>
      <c r="H1102" s="640"/>
      <c r="I1102" s="1"/>
    </row>
    <row r="1103" spans="4:9" ht="20.25" customHeight="1">
      <c r="D1103" s="640"/>
      <c r="E1103" s="640"/>
      <c r="F1103" s="1"/>
      <c r="G1103" s="1"/>
      <c r="H1103" s="640"/>
      <c r="I1103" s="1"/>
    </row>
    <row r="1104" spans="4:9" ht="20.25" customHeight="1">
      <c r="D1104" s="640"/>
      <c r="E1104" s="640"/>
      <c r="F1104" s="1"/>
      <c r="G1104" s="1"/>
      <c r="H1104" s="640"/>
      <c r="I1104" s="1"/>
    </row>
    <row r="1105" spans="4:9" ht="20.25" customHeight="1">
      <c r="D1105" s="640"/>
      <c r="E1105" s="640"/>
      <c r="F1105" s="1"/>
      <c r="G1105" s="1"/>
      <c r="H1105" s="640"/>
      <c r="I1105" s="1"/>
    </row>
    <row r="1106" spans="4:9" ht="20.25" customHeight="1">
      <c r="D1106" s="640"/>
      <c r="E1106" s="640"/>
      <c r="F1106" s="1"/>
      <c r="G1106" s="1"/>
      <c r="H1106" s="640"/>
      <c r="I1106" s="1"/>
    </row>
    <row r="1107" spans="4:9" ht="20.25" customHeight="1">
      <c r="D1107" s="640"/>
      <c r="E1107" s="640"/>
      <c r="F1107" s="1"/>
      <c r="G1107" s="1"/>
      <c r="H1107" s="640"/>
      <c r="I1107" s="1"/>
    </row>
    <row r="1108" spans="4:9" ht="20.25" customHeight="1">
      <c r="D1108" s="640"/>
      <c r="E1108" s="640"/>
      <c r="F1108" s="1"/>
      <c r="G1108" s="1"/>
      <c r="H1108" s="640"/>
      <c r="I1108" s="1"/>
    </row>
    <row r="1109" spans="4:9" ht="20.25" customHeight="1">
      <c r="D1109" s="640"/>
      <c r="E1109" s="640"/>
      <c r="F1109" s="1"/>
      <c r="G1109" s="1"/>
      <c r="H1109" s="640"/>
      <c r="I1109" s="1"/>
    </row>
    <row r="1110" spans="4:9" ht="20.25" customHeight="1">
      <c r="D1110" s="640"/>
      <c r="E1110" s="640"/>
      <c r="F1110" s="1"/>
      <c r="G1110" s="1"/>
      <c r="H1110" s="640"/>
      <c r="I1110" s="1"/>
    </row>
    <row r="1111" spans="4:9" ht="20.25" customHeight="1">
      <c r="D1111" s="640"/>
      <c r="E1111" s="640"/>
      <c r="F1111" s="1"/>
      <c r="G1111" s="1"/>
      <c r="H1111" s="640"/>
      <c r="I1111" s="1"/>
    </row>
    <row r="1112" spans="4:9" ht="20.25" customHeight="1">
      <c r="D1112" s="640"/>
      <c r="E1112" s="640"/>
      <c r="F1112" s="1"/>
      <c r="G1112" s="1"/>
      <c r="H1112" s="640"/>
      <c r="I1112" s="1"/>
    </row>
    <row r="1113" spans="4:9" ht="20.25" customHeight="1">
      <c r="D1113" s="640"/>
      <c r="E1113" s="640"/>
      <c r="F1113" s="1"/>
      <c r="G1113" s="1"/>
      <c r="H1113" s="640"/>
      <c r="I1113" s="1"/>
    </row>
    <row r="1114" spans="4:9" ht="20.25" customHeight="1">
      <c r="D1114" s="640"/>
      <c r="E1114" s="640"/>
      <c r="F1114" s="1"/>
      <c r="G1114" s="1"/>
      <c r="H1114" s="640"/>
      <c r="I1114" s="1"/>
    </row>
    <row r="1115" spans="4:9" ht="20.25" customHeight="1">
      <c r="D1115" s="640"/>
      <c r="E1115" s="640"/>
      <c r="F1115" s="1"/>
      <c r="G1115" s="1"/>
      <c r="H1115" s="640"/>
      <c r="I1115" s="1"/>
    </row>
    <row r="1116" spans="4:9" ht="20.25" customHeight="1">
      <c r="D1116" s="640"/>
      <c r="E1116" s="640"/>
      <c r="F1116" s="1"/>
      <c r="G1116" s="1"/>
      <c r="H1116" s="640"/>
      <c r="I1116" s="1"/>
    </row>
    <row r="1117" spans="4:9" ht="20.25" customHeight="1">
      <c r="D1117" s="640"/>
      <c r="E1117" s="640"/>
      <c r="F1117" s="1"/>
      <c r="G1117" s="1"/>
      <c r="H1117" s="640"/>
      <c r="I1117" s="1"/>
    </row>
    <row r="1118" spans="4:9" ht="20.25" customHeight="1">
      <c r="D1118" s="640"/>
      <c r="E1118" s="640"/>
      <c r="F1118" s="1"/>
      <c r="G1118" s="1"/>
      <c r="H1118" s="640"/>
      <c r="I1118" s="1"/>
    </row>
    <row r="1119" spans="4:9" ht="20.25" customHeight="1">
      <c r="D1119" s="640"/>
      <c r="E1119" s="640"/>
      <c r="F1119" s="1"/>
      <c r="G1119" s="1"/>
      <c r="H1119" s="640"/>
      <c r="I1119" s="1"/>
    </row>
    <row r="1120" spans="4:9" ht="20.25" customHeight="1">
      <c r="D1120" s="640"/>
      <c r="E1120" s="640"/>
      <c r="F1120" s="1"/>
      <c r="G1120" s="1"/>
      <c r="H1120" s="640"/>
      <c r="I1120" s="1"/>
    </row>
    <row r="1121" spans="4:9" ht="20.25" customHeight="1">
      <c r="D1121" s="640"/>
      <c r="E1121" s="640"/>
      <c r="F1121" s="1"/>
      <c r="G1121" s="1"/>
      <c r="H1121" s="640"/>
      <c r="I1121" s="1"/>
    </row>
    <row r="1122" spans="4:9" ht="20.25" customHeight="1">
      <c r="D1122" s="640"/>
      <c r="E1122" s="640"/>
      <c r="F1122" s="1"/>
      <c r="G1122" s="1"/>
      <c r="H1122" s="640"/>
      <c r="I1122" s="1"/>
    </row>
    <row r="1123" spans="4:9" ht="20.25" customHeight="1">
      <c r="D1123" s="640"/>
      <c r="E1123" s="640"/>
      <c r="F1123" s="1"/>
      <c r="G1123" s="1"/>
      <c r="H1123" s="640"/>
      <c r="I1123" s="1"/>
    </row>
    <row r="1124" spans="4:9" ht="20.25" customHeight="1">
      <c r="D1124" s="640"/>
      <c r="E1124" s="640"/>
      <c r="F1124" s="1"/>
      <c r="G1124" s="1"/>
      <c r="H1124" s="640"/>
      <c r="I1124" s="1"/>
    </row>
    <row r="1125" spans="4:9" ht="20.25" customHeight="1">
      <c r="D1125" s="640"/>
      <c r="E1125" s="640"/>
      <c r="F1125" s="1"/>
      <c r="G1125" s="1"/>
      <c r="H1125" s="640"/>
      <c r="I1125" s="1"/>
    </row>
    <row r="1126" spans="4:9" ht="20.25" customHeight="1">
      <c r="D1126" s="640"/>
      <c r="E1126" s="640"/>
      <c r="F1126" s="1"/>
      <c r="G1126" s="1"/>
      <c r="H1126" s="640"/>
      <c r="I1126" s="1"/>
    </row>
    <row r="1127" spans="4:9" ht="20.25" customHeight="1">
      <c r="D1127" s="640"/>
      <c r="E1127" s="640"/>
      <c r="F1127" s="1"/>
      <c r="G1127" s="1"/>
      <c r="H1127" s="640"/>
      <c r="I1127" s="1"/>
    </row>
    <row r="1128" spans="4:9" ht="20.25" customHeight="1">
      <c r="D1128" s="640"/>
      <c r="E1128" s="640"/>
      <c r="F1128" s="1"/>
      <c r="G1128" s="1"/>
      <c r="H1128" s="640"/>
      <c r="I1128" s="1"/>
    </row>
    <row r="1129" spans="4:9" ht="20.25" customHeight="1">
      <c r="D1129" s="640"/>
      <c r="E1129" s="640"/>
      <c r="F1129" s="1"/>
      <c r="G1129" s="1"/>
      <c r="H1129" s="640"/>
      <c r="I1129" s="1"/>
    </row>
    <row r="1130" spans="4:9" ht="20.25" customHeight="1">
      <c r="D1130" s="640"/>
      <c r="E1130" s="640"/>
      <c r="F1130" s="1"/>
      <c r="G1130" s="1"/>
      <c r="H1130" s="640"/>
      <c r="I1130" s="1"/>
    </row>
    <row r="1131" spans="4:9" ht="20.25" customHeight="1">
      <c r="D1131" s="640"/>
      <c r="E1131" s="640"/>
      <c r="F1131" s="1"/>
      <c r="G1131" s="1"/>
      <c r="H1131" s="640"/>
      <c r="I1131" s="1"/>
    </row>
    <row r="1132" spans="4:9" ht="20.25" customHeight="1">
      <c r="D1132" s="640"/>
      <c r="E1132" s="640"/>
      <c r="F1132" s="1"/>
      <c r="G1132" s="1"/>
      <c r="H1132" s="640"/>
      <c r="I1132" s="1"/>
    </row>
    <row r="1133" spans="4:9" ht="20.25" customHeight="1">
      <c r="D1133" s="640"/>
      <c r="E1133" s="640"/>
      <c r="F1133" s="1"/>
      <c r="G1133" s="1"/>
      <c r="H1133" s="640"/>
      <c r="I1133" s="1"/>
    </row>
    <row r="1134" spans="4:9" ht="20.25" customHeight="1">
      <c r="D1134" s="640"/>
      <c r="E1134" s="640"/>
      <c r="F1134" s="1"/>
      <c r="G1134" s="1"/>
      <c r="H1134" s="640"/>
      <c r="I1134" s="1"/>
    </row>
    <row r="1135" spans="4:9" ht="20.25" customHeight="1">
      <c r="D1135" s="640"/>
      <c r="E1135" s="640"/>
      <c r="F1135" s="1"/>
      <c r="G1135" s="1"/>
      <c r="H1135" s="640"/>
      <c r="I1135" s="1"/>
    </row>
    <row r="1136" spans="4:9" ht="20.25" customHeight="1">
      <c r="D1136" s="640"/>
      <c r="E1136" s="640"/>
      <c r="F1136" s="1"/>
      <c r="G1136" s="1"/>
      <c r="H1136" s="640"/>
      <c r="I1136" s="1"/>
    </row>
    <row r="1137" spans="4:9" ht="20.25" customHeight="1">
      <c r="D1137" s="640"/>
      <c r="E1137" s="640"/>
      <c r="F1137" s="1"/>
      <c r="G1137" s="1"/>
      <c r="H1137" s="640"/>
      <c r="I1137" s="1"/>
    </row>
    <row r="1138" spans="4:9" ht="20.25" customHeight="1">
      <c r="D1138" s="640"/>
      <c r="E1138" s="640"/>
      <c r="F1138" s="1"/>
      <c r="G1138" s="1"/>
      <c r="H1138" s="640"/>
      <c r="I1138" s="1"/>
    </row>
    <row r="1139" spans="4:9" ht="20.25" customHeight="1">
      <c r="D1139" s="640"/>
      <c r="E1139" s="640"/>
      <c r="F1139" s="1"/>
      <c r="G1139" s="1"/>
      <c r="H1139" s="640"/>
      <c r="I1139" s="1"/>
    </row>
    <row r="1140" spans="4:9" ht="20.25" customHeight="1">
      <c r="D1140" s="640"/>
      <c r="E1140" s="640"/>
      <c r="F1140" s="1"/>
      <c r="G1140" s="1"/>
      <c r="H1140" s="640"/>
      <c r="I1140" s="1"/>
    </row>
    <row r="1141" spans="4:9" ht="20.25" customHeight="1">
      <c r="D1141" s="640"/>
      <c r="E1141" s="640"/>
      <c r="F1141" s="1"/>
      <c r="G1141" s="1"/>
      <c r="H1141" s="640"/>
      <c r="I1141" s="1"/>
    </row>
    <row r="1142" spans="4:9" ht="20.25" customHeight="1">
      <c r="D1142" s="640"/>
      <c r="E1142" s="640"/>
      <c r="F1142" s="1"/>
      <c r="G1142" s="1"/>
      <c r="H1142" s="640"/>
      <c r="I1142" s="1"/>
    </row>
    <row r="1143" spans="4:9" ht="20.25" customHeight="1">
      <c r="D1143" s="640"/>
      <c r="E1143" s="640"/>
      <c r="F1143" s="1"/>
      <c r="G1143" s="1"/>
      <c r="H1143" s="640"/>
      <c r="I1143" s="1"/>
    </row>
    <row r="1144" spans="4:9" ht="20.25" customHeight="1">
      <c r="D1144" s="640"/>
      <c r="E1144" s="640"/>
      <c r="F1144" s="1"/>
      <c r="G1144" s="1"/>
      <c r="H1144" s="640"/>
      <c r="I1144" s="1"/>
    </row>
    <row r="1145" spans="4:9" ht="20.25" customHeight="1">
      <c r="D1145" s="640"/>
      <c r="E1145" s="640"/>
      <c r="F1145" s="1"/>
      <c r="G1145" s="1"/>
      <c r="H1145" s="640"/>
      <c r="I1145" s="1"/>
    </row>
    <row r="1146" spans="4:9" ht="20.25" customHeight="1">
      <c r="D1146" s="640"/>
      <c r="E1146" s="640"/>
      <c r="F1146" s="1"/>
      <c r="G1146" s="1"/>
      <c r="H1146" s="640"/>
      <c r="I1146" s="1"/>
    </row>
    <row r="1147" spans="4:9" ht="20.25" customHeight="1">
      <c r="D1147" s="640"/>
      <c r="E1147" s="640"/>
      <c r="F1147" s="1"/>
      <c r="G1147" s="1"/>
      <c r="H1147" s="640"/>
      <c r="I1147" s="1"/>
    </row>
    <row r="1148" spans="4:9" ht="20.25" customHeight="1">
      <c r="D1148" s="640"/>
      <c r="E1148" s="640"/>
      <c r="F1148" s="1"/>
      <c r="G1148" s="1"/>
      <c r="H1148" s="640"/>
      <c r="I1148" s="1"/>
    </row>
    <row r="1149" spans="4:9" ht="20.25" customHeight="1">
      <c r="D1149" s="640"/>
      <c r="E1149" s="640"/>
      <c r="F1149" s="1"/>
      <c r="G1149" s="1"/>
      <c r="H1149" s="640"/>
      <c r="I1149" s="1"/>
    </row>
    <row r="1150" spans="4:9" ht="20.25" customHeight="1">
      <c r="D1150" s="640"/>
      <c r="E1150" s="640"/>
      <c r="F1150" s="1"/>
      <c r="G1150" s="1"/>
      <c r="H1150" s="640"/>
      <c r="I1150" s="1"/>
    </row>
    <row r="1151" spans="4:9" ht="20.25" customHeight="1">
      <c r="D1151" s="640"/>
      <c r="E1151" s="640"/>
      <c r="F1151" s="1"/>
      <c r="G1151" s="1"/>
      <c r="H1151" s="640"/>
      <c r="I1151" s="1"/>
    </row>
    <row r="1152" spans="4:9" ht="20.25" customHeight="1">
      <c r="D1152" s="640"/>
      <c r="E1152" s="640"/>
      <c r="F1152" s="1"/>
      <c r="G1152" s="1"/>
      <c r="H1152" s="640"/>
      <c r="I1152" s="1"/>
    </row>
    <row r="1153" spans="4:9" ht="20.25" customHeight="1">
      <c r="D1153" s="640"/>
      <c r="E1153" s="640"/>
      <c r="F1153" s="1"/>
      <c r="G1153" s="1"/>
      <c r="H1153" s="640"/>
      <c r="I1153" s="1"/>
    </row>
    <row r="1154" spans="4:9" ht="20.25" customHeight="1">
      <c r="D1154" s="640"/>
      <c r="E1154" s="640"/>
      <c r="F1154" s="1"/>
      <c r="G1154" s="1"/>
      <c r="H1154" s="640"/>
      <c r="I1154" s="1"/>
    </row>
    <row r="1155" spans="4:9" ht="20.25" customHeight="1">
      <c r="D1155" s="640"/>
      <c r="E1155" s="640"/>
      <c r="F1155" s="1"/>
      <c r="G1155" s="1"/>
      <c r="H1155" s="640"/>
      <c r="I1155" s="1"/>
    </row>
    <row r="1156" spans="4:9" ht="20.25" customHeight="1">
      <c r="D1156" s="640"/>
      <c r="E1156" s="640"/>
      <c r="F1156" s="1"/>
      <c r="G1156" s="1"/>
      <c r="H1156" s="640"/>
      <c r="I1156" s="1"/>
    </row>
    <row r="1157" spans="4:9" ht="20.25" customHeight="1">
      <c r="D1157" s="640"/>
      <c r="E1157" s="640"/>
      <c r="F1157" s="1"/>
      <c r="G1157" s="1"/>
      <c r="H1157" s="640"/>
      <c r="I1157" s="1"/>
    </row>
    <row r="1158" spans="4:9" ht="20.25" customHeight="1">
      <c r="D1158" s="640"/>
      <c r="E1158" s="640"/>
      <c r="F1158" s="1"/>
      <c r="G1158" s="1"/>
      <c r="H1158" s="640"/>
      <c r="I1158" s="1"/>
    </row>
    <row r="1159" spans="4:9" ht="20.25" customHeight="1">
      <c r="D1159" s="640"/>
      <c r="E1159" s="640"/>
      <c r="F1159" s="1"/>
      <c r="G1159" s="1"/>
      <c r="H1159" s="640"/>
      <c r="I1159" s="1"/>
    </row>
    <row r="1160" spans="4:9" ht="20.25" customHeight="1">
      <c r="D1160" s="640"/>
      <c r="E1160" s="640"/>
      <c r="F1160" s="1"/>
      <c r="G1160" s="1"/>
      <c r="H1160" s="640"/>
      <c r="I1160" s="1"/>
    </row>
    <row r="1161" spans="4:9" ht="20.25" customHeight="1">
      <c r="D1161" s="640"/>
      <c r="E1161" s="640"/>
      <c r="F1161" s="1"/>
      <c r="G1161" s="1"/>
      <c r="H1161" s="640"/>
      <c r="I1161" s="1"/>
    </row>
    <row r="1162" spans="4:9" ht="20.25" customHeight="1">
      <c r="D1162" s="640"/>
      <c r="E1162" s="640"/>
      <c r="F1162" s="1"/>
      <c r="G1162" s="1"/>
      <c r="H1162" s="640"/>
      <c r="I1162" s="1"/>
    </row>
    <row r="1163" spans="4:9" ht="20.25" customHeight="1">
      <c r="D1163" s="640"/>
      <c r="E1163" s="640"/>
      <c r="F1163" s="1"/>
      <c r="G1163" s="1"/>
      <c r="H1163" s="640"/>
      <c r="I1163" s="1"/>
    </row>
    <row r="1164" spans="4:9" ht="20.25" customHeight="1">
      <c r="D1164" s="640"/>
      <c r="E1164" s="640"/>
      <c r="F1164" s="1"/>
      <c r="G1164" s="1"/>
      <c r="H1164" s="640"/>
      <c r="I1164" s="1"/>
    </row>
    <row r="1165" spans="4:9" ht="20.25" customHeight="1">
      <c r="D1165" s="640"/>
      <c r="E1165" s="640"/>
      <c r="F1165" s="1"/>
      <c r="G1165" s="1"/>
      <c r="H1165" s="640"/>
      <c r="I1165" s="1"/>
    </row>
    <row r="1166" spans="4:9" ht="20.25" customHeight="1">
      <c r="D1166" s="640"/>
      <c r="E1166" s="640"/>
      <c r="F1166" s="1"/>
      <c r="G1166" s="1"/>
      <c r="H1166" s="640"/>
      <c r="I1166" s="1"/>
    </row>
    <row r="1167" spans="4:9" ht="20.25" customHeight="1">
      <c r="D1167" s="640"/>
      <c r="E1167" s="640"/>
      <c r="F1167" s="1"/>
      <c r="G1167" s="1"/>
      <c r="H1167" s="640"/>
      <c r="I1167" s="1"/>
    </row>
    <row r="1168" spans="4:9" ht="20.25" customHeight="1">
      <c r="D1168" s="640"/>
      <c r="E1168" s="640"/>
      <c r="F1168" s="1"/>
      <c r="G1168" s="1"/>
      <c r="H1168" s="640"/>
      <c r="I1168" s="1"/>
    </row>
    <row r="1169" spans="4:9" ht="20.25" customHeight="1">
      <c r="D1169" s="640"/>
      <c r="E1169" s="640"/>
      <c r="F1169" s="1"/>
      <c r="G1169" s="1"/>
      <c r="H1169" s="640"/>
      <c r="I1169" s="1"/>
    </row>
    <row r="1170" spans="4:9" ht="20.25" customHeight="1">
      <c r="D1170" s="640"/>
      <c r="E1170" s="640"/>
      <c r="F1170" s="1"/>
      <c r="G1170" s="1"/>
      <c r="H1170" s="640"/>
      <c r="I1170" s="1"/>
    </row>
    <row r="1171" spans="4:9" ht="20.25" customHeight="1">
      <c r="D1171" s="640"/>
      <c r="E1171" s="640"/>
      <c r="F1171" s="1"/>
      <c r="G1171" s="1"/>
      <c r="H1171" s="640"/>
      <c r="I1171" s="1"/>
    </row>
    <row r="1172" spans="4:9" ht="20.25" customHeight="1">
      <c r="D1172" s="640"/>
      <c r="E1172" s="640"/>
      <c r="F1172" s="1"/>
      <c r="G1172" s="1"/>
      <c r="H1172" s="640"/>
      <c r="I1172" s="1"/>
    </row>
    <row r="1173" spans="4:9" ht="20.25" customHeight="1">
      <c r="D1173" s="640"/>
      <c r="E1173" s="640"/>
      <c r="F1173" s="1"/>
      <c r="G1173" s="1"/>
      <c r="H1173" s="640"/>
      <c r="I1173" s="1"/>
    </row>
    <row r="1174" spans="4:9" ht="20.25" customHeight="1">
      <c r="D1174" s="640"/>
      <c r="E1174" s="640"/>
      <c r="F1174" s="1"/>
      <c r="G1174" s="1"/>
      <c r="H1174" s="640"/>
      <c r="I1174" s="1"/>
    </row>
    <row r="1175" spans="4:9" ht="20.25" customHeight="1">
      <c r="D1175" s="640"/>
      <c r="E1175" s="640"/>
      <c r="F1175" s="1"/>
      <c r="G1175" s="1"/>
      <c r="H1175" s="640"/>
      <c r="I1175" s="1"/>
    </row>
    <row r="1176" spans="4:9" ht="20.25" customHeight="1">
      <c r="D1176" s="640"/>
      <c r="E1176" s="640"/>
      <c r="F1176" s="1"/>
      <c r="G1176" s="1"/>
      <c r="H1176" s="640"/>
      <c r="I1176" s="1"/>
    </row>
    <row r="1177" spans="4:9" ht="20.25" customHeight="1">
      <c r="D1177" s="640"/>
      <c r="E1177" s="640"/>
      <c r="F1177" s="1"/>
      <c r="G1177" s="1"/>
      <c r="H1177" s="640"/>
      <c r="I1177" s="1"/>
    </row>
    <row r="1178" spans="4:9" ht="20.25" customHeight="1">
      <c r="D1178" s="640"/>
      <c r="E1178" s="640"/>
      <c r="F1178" s="1"/>
      <c r="G1178" s="1"/>
      <c r="H1178" s="640"/>
      <c r="I1178" s="1"/>
    </row>
    <row r="1179" spans="4:9" ht="20.25" customHeight="1">
      <c r="D1179" s="640"/>
      <c r="E1179" s="640"/>
      <c r="F1179" s="1"/>
      <c r="G1179" s="1"/>
      <c r="H1179" s="640"/>
      <c r="I1179" s="1"/>
    </row>
    <row r="1180" spans="4:9" ht="20.25" customHeight="1">
      <c r="D1180" s="640"/>
      <c r="E1180" s="640"/>
      <c r="F1180" s="1"/>
      <c r="G1180" s="1"/>
      <c r="H1180" s="640"/>
      <c r="I1180" s="1"/>
    </row>
    <row r="1181" spans="4:9" ht="20.25" customHeight="1">
      <c r="D1181" s="640"/>
      <c r="E1181" s="640"/>
      <c r="F1181" s="1"/>
      <c r="G1181" s="1"/>
      <c r="H1181" s="640"/>
      <c r="I1181" s="1"/>
    </row>
    <row r="1182" spans="4:9" ht="20.25" customHeight="1">
      <c r="D1182" s="640"/>
      <c r="E1182" s="640"/>
      <c r="F1182" s="1"/>
      <c r="G1182" s="1"/>
      <c r="H1182" s="640"/>
      <c r="I1182" s="1"/>
    </row>
    <row r="1183" spans="4:9" ht="20.25" customHeight="1">
      <c r="D1183" s="640"/>
      <c r="E1183" s="640"/>
      <c r="F1183" s="1"/>
      <c r="G1183" s="1"/>
      <c r="H1183" s="640"/>
      <c r="I1183" s="1"/>
    </row>
    <row r="1184" spans="4:9" ht="20.25" customHeight="1">
      <c r="D1184" s="640"/>
      <c r="E1184" s="640"/>
      <c r="F1184" s="1"/>
      <c r="G1184" s="1"/>
      <c r="H1184" s="640"/>
      <c r="I1184" s="1"/>
    </row>
    <row r="1185" spans="4:9" ht="20.25" customHeight="1">
      <c r="D1185" s="640"/>
      <c r="E1185" s="640"/>
      <c r="F1185" s="1"/>
      <c r="G1185" s="1"/>
      <c r="H1185" s="640"/>
      <c r="I1185" s="1"/>
    </row>
    <row r="1186" spans="4:9" ht="20.25" customHeight="1">
      <c r="D1186" s="640"/>
      <c r="E1186" s="640"/>
      <c r="F1186" s="1"/>
      <c r="G1186" s="1"/>
      <c r="H1186" s="640"/>
      <c r="I1186" s="1"/>
    </row>
    <row r="1187" spans="4:9" ht="20.25" customHeight="1">
      <c r="D1187" s="640"/>
      <c r="E1187" s="640"/>
      <c r="F1187" s="1"/>
      <c r="G1187" s="1"/>
      <c r="H1187" s="640"/>
      <c r="I1187" s="1"/>
    </row>
    <row r="1188" spans="4:9" ht="20.25" customHeight="1">
      <c r="D1188" s="640"/>
      <c r="E1188" s="640"/>
      <c r="F1188" s="1"/>
      <c r="G1188" s="1"/>
      <c r="H1188" s="640"/>
      <c r="I1188" s="1"/>
    </row>
    <row r="1189" spans="4:9" ht="20.25" customHeight="1">
      <c r="D1189" s="640"/>
      <c r="E1189" s="640"/>
      <c r="F1189" s="1"/>
      <c r="G1189" s="1"/>
      <c r="H1189" s="640"/>
      <c r="I1189" s="1"/>
    </row>
    <row r="1190" spans="4:9" ht="20.25" customHeight="1">
      <c r="D1190" s="640"/>
      <c r="E1190" s="640"/>
      <c r="F1190" s="1"/>
      <c r="G1190" s="1"/>
      <c r="H1190" s="640"/>
      <c r="I1190" s="1"/>
    </row>
    <row r="1191" spans="4:9" ht="20.25" customHeight="1">
      <c r="D1191" s="640"/>
      <c r="E1191" s="640"/>
      <c r="F1191" s="1"/>
      <c r="G1191" s="1"/>
      <c r="H1191" s="640"/>
      <c r="I1191" s="1"/>
    </row>
    <row r="1192" spans="4:9" ht="20.25" customHeight="1">
      <c r="D1192" s="640"/>
      <c r="E1192" s="640"/>
      <c r="F1192" s="1"/>
      <c r="G1192" s="1"/>
      <c r="H1192" s="640"/>
      <c r="I1192" s="1"/>
    </row>
    <row r="1193" spans="4:9" ht="20.25" customHeight="1">
      <c r="D1193" s="640"/>
      <c r="E1193" s="640"/>
      <c r="F1193" s="1"/>
      <c r="G1193" s="1"/>
      <c r="H1193" s="640"/>
      <c r="I1193" s="1"/>
    </row>
    <row r="1194" spans="4:9" ht="20.25" customHeight="1">
      <c r="D1194" s="640"/>
      <c r="E1194" s="640"/>
      <c r="F1194" s="1"/>
      <c r="G1194" s="1"/>
      <c r="H1194" s="640"/>
      <c r="I1194" s="1"/>
    </row>
    <row r="1195" spans="4:9" ht="20.25" customHeight="1">
      <c r="D1195" s="640"/>
      <c r="E1195" s="640"/>
      <c r="F1195" s="1"/>
      <c r="G1195" s="1"/>
      <c r="H1195" s="640"/>
      <c r="I1195" s="1"/>
    </row>
    <row r="1196" spans="4:9" ht="20.25" customHeight="1">
      <c r="D1196" s="640"/>
      <c r="E1196" s="640"/>
      <c r="F1196" s="1"/>
      <c r="G1196" s="1"/>
      <c r="H1196" s="640"/>
      <c r="I1196" s="1"/>
    </row>
    <row r="1197" spans="4:9" ht="20.25" customHeight="1">
      <c r="D1197" s="640"/>
      <c r="E1197" s="640"/>
      <c r="F1197" s="1"/>
      <c r="G1197" s="1"/>
      <c r="H1197" s="640"/>
      <c r="I1197" s="1"/>
    </row>
    <row r="1198" spans="4:9" ht="20.25" customHeight="1">
      <c r="D1198" s="640"/>
      <c r="E1198" s="640"/>
      <c r="F1198" s="1"/>
      <c r="G1198" s="1"/>
      <c r="H1198" s="640"/>
      <c r="I1198" s="1"/>
    </row>
    <row r="1199" spans="4:9" ht="20.25" customHeight="1">
      <c r="D1199" s="640"/>
      <c r="E1199" s="640"/>
      <c r="F1199" s="1"/>
      <c r="G1199" s="1"/>
      <c r="H1199" s="640"/>
      <c r="I1199" s="1"/>
    </row>
    <row r="1200" spans="4:9" ht="20.25" customHeight="1">
      <c r="D1200" s="640"/>
      <c r="E1200" s="640"/>
      <c r="F1200" s="1"/>
      <c r="G1200" s="1"/>
      <c r="H1200" s="640"/>
      <c r="I1200" s="1"/>
    </row>
    <row r="1201" spans="4:9" ht="20.25" customHeight="1">
      <c r="D1201" s="640"/>
      <c r="E1201" s="640"/>
      <c r="F1201" s="1"/>
      <c r="G1201" s="1"/>
      <c r="H1201" s="640"/>
      <c r="I1201" s="1"/>
    </row>
    <row r="1202" spans="4:9" ht="20.25" customHeight="1">
      <c r="D1202" s="640"/>
      <c r="E1202" s="640"/>
      <c r="F1202" s="1"/>
      <c r="G1202" s="1"/>
      <c r="H1202" s="640"/>
      <c r="I1202" s="1"/>
    </row>
    <row r="1203" spans="4:9" ht="20.25" customHeight="1">
      <c r="D1203" s="640"/>
      <c r="E1203" s="640"/>
      <c r="F1203" s="1"/>
      <c r="G1203" s="1"/>
      <c r="H1203" s="640"/>
      <c r="I1203" s="1"/>
    </row>
    <row r="1204" spans="4:9" ht="20.25" customHeight="1">
      <c r="D1204" s="640"/>
      <c r="E1204" s="640"/>
      <c r="F1204" s="1"/>
      <c r="G1204" s="1"/>
      <c r="H1204" s="640"/>
      <c r="I1204" s="1"/>
    </row>
    <row r="1205" spans="4:9" ht="20.25" customHeight="1">
      <c r="D1205" s="640"/>
      <c r="E1205" s="640"/>
      <c r="F1205" s="1"/>
      <c r="G1205" s="1"/>
      <c r="H1205" s="640"/>
      <c r="I1205" s="1"/>
    </row>
    <row r="1206" spans="4:9" ht="20.25" customHeight="1">
      <c r="D1206" s="640"/>
      <c r="E1206" s="640"/>
      <c r="F1206" s="1"/>
      <c r="G1206" s="1"/>
      <c r="H1206" s="640"/>
      <c r="I1206" s="1"/>
    </row>
    <row r="1207" spans="4:9" ht="20.25" customHeight="1">
      <c r="D1207" s="640"/>
      <c r="E1207" s="640"/>
      <c r="F1207" s="1"/>
      <c r="G1207" s="1"/>
      <c r="H1207" s="640"/>
      <c r="I1207" s="1"/>
    </row>
    <row r="1208" spans="4:9" ht="20.25" customHeight="1">
      <c r="D1208" s="640"/>
      <c r="E1208" s="640"/>
      <c r="F1208" s="1"/>
      <c r="G1208" s="1"/>
      <c r="H1208" s="640"/>
      <c r="I1208" s="1"/>
    </row>
    <row r="1209" spans="4:9" ht="20.25" customHeight="1">
      <c r="D1209" s="640"/>
      <c r="E1209" s="640"/>
      <c r="F1209" s="1"/>
      <c r="G1209" s="1"/>
      <c r="H1209" s="640"/>
      <c r="I1209" s="1"/>
    </row>
    <row r="1210" spans="4:9" ht="20.25" customHeight="1">
      <c r="D1210" s="640"/>
      <c r="E1210" s="640"/>
      <c r="F1210" s="1"/>
      <c r="G1210" s="1"/>
      <c r="H1210" s="640"/>
      <c r="I1210" s="1"/>
    </row>
    <row r="1211" spans="4:9" ht="20.25" customHeight="1">
      <c r="D1211" s="640"/>
      <c r="E1211" s="640"/>
      <c r="F1211" s="1"/>
      <c r="G1211" s="1"/>
      <c r="H1211" s="640"/>
      <c r="I1211" s="1"/>
    </row>
    <row r="1212" spans="4:9" ht="20.25" customHeight="1">
      <c r="D1212" s="640"/>
      <c r="E1212" s="640"/>
      <c r="F1212" s="1"/>
      <c r="G1212" s="1"/>
      <c r="H1212" s="640"/>
      <c r="I1212" s="1"/>
    </row>
    <row r="1213" spans="4:9" ht="20.25" customHeight="1">
      <c r="D1213" s="640"/>
      <c r="E1213" s="640"/>
      <c r="F1213" s="1"/>
      <c r="G1213" s="1"/>
      <c r="H1213" s="640"/>
      <c r="I1213" s="1"/>
    </row>
    <row r="1214" spans="4:9" ht="20.25" customHeight="1">
      <c r="D1214" s="640"/>
      <c r="E1214" s="640"/>
      <c r="F1214" s="1"/>
      <c r="G1214" s="1"/>
      <c r="H1214" s="640"/>
      <c r="I1214" s="1"/>
    </row>
    <row r="1215" spans="4:9" ht="20.25" customHeight="1">
      <c r="D1215" s="640"/>
      <c r="E1215" s="640"/>
      <c r="F1215" s="1"/>
      <c r="G1215" s="1"/>
      <c r="H1215" s="640"/>
      <c r="I1215" s="1"/>
    </row>
    <row r="1216" spans="4:9" ht="20.25" customHeight="1">
      <c r="D1216" s="640"/>
      <c r="E1216" s="640"/>
      <c r="F1216" s="1"/>
      <c r="G1216" s="1"/>
      <c r="H1216" s="640"/>
      <c r="I1216" s="1"/>
    </row>
    <row r="1217" spans="4:9" ht="20.25" customHeight="1">
      <c r="D1217" s="640"/>
      <c r="E1217" s="640"/>
      <c r="F1217" s="1"/>
      <c r="G1217" s="1"/>
      <c r="H1217" s="640"/>
      <c r="I1217" s="1"/>
    </row>
    <row r="1218" spans="4:9" ht="20.25" customHeight="1">
      <c r="D1218" s="640"/>
      <c r="E1218" s="640"/>
      <c r="F1218" s="1"/>
      <c r="G1218" s="1"/>
      <c r="H1218" s="640"/>
      <c r="I1218" s="1"/>
    </row>
    <row r="1219" spans="4:9" ht="20.25" customHeight="1">
      <c r="D1219" s="640"/>
      <c r="E1219" s="640"/>
      <c r="F1219" s="1"/>
      <c r="G1219" s="1"/>
      <c r="H1219" s="640"/>
      <c r="I1219" s="1"/>
    </row>
    <row r="1220" spans="4:9" ht="20.25" customHeight="1">
      <c r="D1220" s="640"/>
      <c r="E1220" s="640"/>
      <c r="F1220" s="1"/>
      <c r="G1220" s="1"/>
      <c r="H1220" s="640"/>
      <c r="I1220" s="1"/>
    </row>
    <row r="1221" spans="4:9" ht="20.25" customHeight="1">
      <c r="D1221" s="640"/>
      <c r="E1221" s="640"/>
      <c r="F1221" s="1"/>
      <c r="G1221" s="1"/>
      <c r="H1221" s="640"/>
      <c r="I1221" s="1"/>
    </row>
    <row r="1222" spans="4:9" ht="20.25" customHeight="1">
      <c r="D1222" s="640"/>
      <c r="E1222" s="640"/>
      <c r="F1222" s="1"/>
      <c r="G1222" s="1"/>
      <c r="H1222" s="640"/>
      <c r="I1222" s="1"/>
    </row>
    <row r="1223" spans="4:9" ht="20.25" customHeight="1">
      <c r="D1223" s="640"/>
      <c r="E1223" s="640"/>
      <c r="F1223" s="1"/>
      <c r="G1223" s="1"/>
      <c r="H1223" s="640"/>
      <c r="I1223" s="1"/>
    </row>
    <row r="1224" spans="4:9" ht="20.25" customHeight="1">
      <c r="D1224" s="640"/>
      <c r="E1224" s="640"/>
      <c r="F1224" s="1"/>
      <c r="G1224" s="1"/>
      <c r="H1224" s="640"/>
      <c r="I1224" s="1"/>
    </row>
    <row r="1225" spans="4:9" ht="20.25" customHeight="1">
      <c r="D1225" s="640"/>
      <c r="E1225" s="640"/>
      <c r="F1225" s="1"/>
      <c r="G1225" s="1"/>
      <c r="H1225" s="640"/>
      <c r="I1225" s="1"/>
    </row>
    <row r="1226" spans="4:9" ht="20.25" customHeight="1">
      <c r="D1226" s="640"/>
      <c r="E1226" s="640"/>
      <c r="F1226" s="1"/>
      <c r="G1226" s="1"/>
      <c r="H1226" s="640"/>
      <c r="I1226" s="1"/>
    </row>
    <row r="1227" spans="4:9" ht="20.25" customHeight="1">
      <c r="D1227" s="640"/>
      <c r="E1227" s="640"/>
      <c r="F1227" s="1"/>
      <c r="G1227" s="1"/>
      <c r="H1227" s="640"/>
      <c r="I1227" s="1"/>
    </row>
    <row r="1228" spans="4:9" ht="20.25" customHeight="1">
      <c r="D1228" s="640"/>
      <c r="E1228" s="640"/>
      <c r="F1228" s="1"/>
      <c r="G1228" s="1"/>
      <c r="H1228" s="640"/>
      <c r="I1228" s="1"/>
    </row>
    <row r="1229" spans="4:9" ht="20.25" customHeight="1">
      <c r="D1229" s="640"/>
      <c r="E1229" s="640"/>
      <c r="F1229" s="1"/>
      <c r="G1229" s="1"/>
      <c r="H1229" s="640"/>
      <c r="I1229" s="1"/>
    </row>
    <row r="1230" spans="4:9" ht="20.25" customHeight="1">
      <c r="D1230" s="640"/>
      <c r="E1230" s="640"/>
      <c r="F1230" s="1"/>
      <c r="G1230" s="1"/>
      <c r="H1230" s="640"/>
      <c r="I1230" s="1"/>
    </row>
    <row r="1231" spans="4:9" ht="20.25" customHeight="1">
      <c r="D1231" s="640"/>
      <c r="E1231" s="640"/>
      <c r="F1231" s="1"/>
      <c r="G1231" s="1"/>
      <c r="H1231" s="640"/>
      <c r="I1231" s="1"/>
    </row>
    <row r="1232" spans="4:9" ht="20.25" customHeight="1">
      <c r="D1232" s="640"/>
      <c r="E1232" s="640"/>
      <c r="F1232" s="1"/>
      <c r="G1232" s="1"/>
      <c r="H1232" s="640"/>
      <c r="I1232" s="1"/>
    </row>
    <row r="1233" spans="4:9" ht="20.25" customHeight="1">
      <c r="D1233" s="640"/>
      <c r="E1233" s="640"/>
      <c r="F1233" s="1"/>
      <c r="G1233" s="1"/>
      <c r="H1233" s="640"/>
      <c r="I1233" s="1"/>
    </row>
    <row r="1234" spans="4:9" ht="20.25" customHeight="1">
      <c r="D1234" s="640"/>
      <c r="E1234" s="640"/>
      <c r="F1234" s="1"/>
      <c r="G1234" s="1"/>
      <c r="H1234" s="640"/>
      <c r="I1234" s="1"/>
    </row>
    <row r="1235" spans="4:9" ht="20.25" customHeight="1">
      <c r="D1235" s="640"/>
      <c r="E1235" s="640"/>
      <c r="F1235" s="1"/>
      <c r="G1235" s="1"/>
      <c r="H1235" s="640"/>
      <c r="I1235" s="1"/>
    </row>
    <row r="1236" spans="4:9" ht="20.25" customHeight="1">
      <c r="D1236" s="640"/>
      <c r="E1236" s="640"/>
      <c r="F1236" s="1"/>
      <c r="G1236" s="1"/>
      <c r="H1236" s="640"/>
      <c r="I1236" s="1"/>
    </row>
    <row r="1237" spans="4:9" ht="20.25" customHeight="1">
      <c r="D1237" s="640"/>
      <c r="E1237" s="640"/>
      <c r="F1237" s="1"/>
      <c r="G1237" s="1"/>
      <c r="H1237" s="640"/>
      <c r="I1237" s="1"/>
    </row>
    <row r="1238" spans="4:9" ht="20.25" customHeight="1">
      <c r="D1238" s="640"/>
      <c r="E1238" s="640"/>
      <c r="F1238" s="1"/>
      <c r="G1238" s="1"/>
      <c r="H1238" s="640"/>
      <c r="I1238" s="1"/>
    </row>
    <row r="1239" spans="4:9" ht="20.25" customHeight="1">
      <c r="D1239" s="640"/>
      <c r="E1239" s="640"/>
      <c r="F1239" s="1"/>
      <c r="G1239" s="1"/>
      <c r="H1239" s="640"/>
      <c r="I1239" s="1"/>
    </row>
    <row r="1240" spans="4:9" ht="20.25" customHeight="1">
      <c r="D1240" s="640"/>
      <c r="E1240" s="640"/>
      <c r="F1240" s="1"/>
      <c r="G1240" s="1"/>
      <c r="H1240" s="640"/>
      <c r="I1240" s="1"/>
    </row>
    <row r="1241" spans="4:9" ht="20.25" customHeight="1">
      <c r="D1241" s="640"/>
      <c r="E1241" s="640"/>
      <c r="F1241" s="1"/>
      <c r="G1241" s="1"/>
      <c r="H1241" s="640"/>
      <c r="I1241" s="1"/>
    </row>
    <row r="1242" spans="4:9" ht="20.25" customHeight="1">
      <c r="D1242" s="640"/>
      <c r="E1242" s="640"/>
      <c r="F1242" s="1"/>
      <c r="G1242" s="1"/>
      <c r="H1242" s="640"/>
      <c r="I1242" s="1"/>
    </row>
    <row r="1243" spans="4:9" ht="20.25" customHeight="1">
      <c r="D1243" s="640"/>
      <c r="E1243" s="640"/>
      <c r="F1243" s="1"/>
      <c r="G1243" s="1"/>
      <c r="H1243" s="640"/>
      <c r="I1243" s="1"/>
    </row>
    <row r="1244" spans="4:9" ht="20.25" customHeight="1">
      <c r="D1244" s="640"/>
      <c r="E1244" s="640"/>
      <c r="F1244" s="1"/>
      <c r="G1244" s="1"/>
      <c r="H1244" s="640"/>
      <c r="I1244" s="1"/>
    </row>
    <row r="1245" spans="4:9" ht="20.25" customHeight="1">
      <c r="D1245" s="640"/>
      <c r="E1245" s="640"/>
      <c r="F1245" s="1"/>
      <c r="G1245" s="1"/>
      <c r="H1245" s="640"/>
      <c r="I1245" s="1"/>
    </row>
    <row r="1246" spans="4:9" ht="20.25" customHeight="1">
      <c r="D1246" s="640"/>
      <c r="E1246" s="640"/>
      <c r="F1246" s="1"/>
      <c r="G1246" s="1"/>
      <c r="H1246" s="640"/>
      <c r="I1246" s="1"/>
    </row>
    <row r="1247" spans="4:9" ht="20.25" customHeight="1">
      <c r="D1247" s="640"/>
      <c r="E1247" s="640"/>
      <c r="F1247" s="1"/>
      <c r="G1247" s="1"/>
      <c r="H1247" s="640"/>
      <c r="I1247" s="1"/>
    </row>
    <row r="1248" spans="4:9" ht="20.25" customHeight="1">
      <c r="D1248" s="640"/>
      <c r="E1248" s="640"/>
      <c r="F1248" s="1"/>
      <c r="G1248" s="1"/>
      <c r="H1248" s="640"/>
      <c r="I1248" s="1"/>
    </row>
    <row r="1249" spans="4:9" ht="20.25" customHeight="1">
      <c r="D1249" s="640"/>
      <c r="E1249" s="640"/>
      <c r="F1249" s="1"/>
      <c r="G1249" s="1"/>
      <c r="H1249" s="640"/>
      <c r="I1249" s="1"/>
    </row>
    <row r="1250" spans="4:9" ht="20.25" customHeight="1">
      <c r="D1250" s="640"/>
      <c r="E1250" s="640"/>
      <c r="F1250" s="1"/>
      <c r="G1250" s="1"/>
      <c r="H1250" s="640"/>
      <c r="I1250" s="1"/>
    </row>
    <row r="1251" spans="4:9" ht="20.25" customHeight="1">
      <c r="D1251" s="640"/>
      <c r="E1251" s="640"/>
      <c r="F1251" s="1"/>
      <c r="G1251" s="1"/>
      <c r="H1251" s="640"/>
      <c r="I1251" s="1"/>
    </row>
    <row r="1252" spans="4:9" ht="20.25" customHeight="1">
      <c r="D1252" s="640"/>
      <c r="E1252" s="640"/>
      <c r="F1252" s="1"/>
      <c r="G1252" s="1"/>
      <c r="H1252" s="640"/>
      <c r="I1252" s="1"/>
    </row>
    <row r="1253" spans="4:9" ht="20.25" customHeight="1">
      <c r="D1253" s="640"/>
      <c r="E1253" s="640"/>
      <c r="F1253" s="1"/>
      <c r="G1253" s="1"/>
      <c r="H1253" s="640"/>
      <c r="I1253" s="1"/>
    </row>
    <row r="1254" spans="4:9" ht="20.25" customHeight="1">
      <c r="D1254" s="640"/>
      <c r="E1254" s="640"/>
      <c r="F1254" s="1"/>
      <c r="G1254" s="1"/>
      <c r="H1254" s="640"/>
      <c r="I1254" s="1"/>
    </row>
    <row r="1255" spans="4:9" ht="20.25" customHeight="1">
      <c r="D1255" s="640"/>
      <c r="E1255" s="640"/>
      <c r="F1255" s="1"/>
      <c r="G1255" s="1"/>
      <c r="H1255" s="640"/>
      <c r="I1255" s="1"/>
    </row>
    <row r="1256" spans="4:9" ht="20.25" customHeight="1">
      <c r="D1256" s="640"/>
      <c r="E1256" s="640"/>
      <c r="F1256" s="1"/>
      <c r="G1256" s="1"/>
      <c r="H1256" s="640"/>
      <c r="I1256" s="1"/>
    </row>
    <row r="1257" spans="4:9" ht="20.25" customHeight="1">
      <c r="D1257" s="640"/>
      <c r="E1257" s="640"/>
      <c r="F1257" s="1"/>
      <c r="G1257" s="1"/>
      <c r="H1257" s="640"/>
      <c r="I1257" s="1"/>
    </row>
    <row r="1258" spans="4:9" ht="20.25" customHeight="1">
      <c r="D1258" s="640"/>
      <c r="E1258" s="640"/>
      <c r="F1258" s="1"/>
      <c r="G1258" s="1"/>
      <c r="H1258" s="640"/>
      <c r="I1258" s="1"/>
    </row>
    <row r="1259" spans="4:9" ht="20.25" customHeight="1">
      <c r="D1259" s="640"/>
      <c r="E1259" s="640"/>
      <c r="F1259" s="1"/>
      <c r="G1259" s="1"/>
      <c r="H1259" s="640"/>
      <c r="I1259" s="1"/>
    </row>
    <row r="1260" spans="4:9" ht="20.25" customHeight="1">
      <c r="D1260" s="640"/>
      <c r="E1260" s="640"/>
      <c r="F1260" s="1"/>
      <c r="G1260" s="1"/>
      <c r="H1260" s="640"/>
      <c r="I1260" s="1"/>
    </row>
    <row r="1261" spans="4:9" ht="20.25" customHeight="1">
      <c r="D1261" s="640"/>
      <c r="E1261" s="640"/>
      <c r="F1261" s="1"/>
      <c r="G1261" s="1"/>
      <c r="H1261" s="640"/>
      <c r="I1261" s="1"/>
    </row>
    <row r="1262" spans="4:9" ht="20.25" customHeight="1">
      <c r="D1262" s="640"/>
      <c r="E1262" s="640"/>
      <c r="F1262" s="1"/>
      <c r="G1262" s="1"/>
      <c r="H1262" s="640"/>
      <c r="I1262" s="1"/>
    </row>
    <row r="1263" spans="4:9" ht="20.25" customHeight="1">
      <c r="D1263" s="640"/>
      <c r="E1263" s="640"/>
      <c r="F1263" s="1"/>
      <c r="G1263" s="1"/>
      <c r="H1263" s="640"/>
      <c r="I1263" s="1"/>
    </row>
    <row r="1264" spans="4:9" ht="20.25" customHeight="1">
      <c r="D1264" s="640"/>
      <c r="E1264" s="640"/>
      <c r="F1264" s="1"/>
      <c r="G1264" s="1"/>
      <c r="H1264" s="640"/>
      <c r="I1264" s="1"/>
    </row>
    <row r="1265" spans="4:9" ht="20.25" customHeight="1">
      <c r="D1265" s="640"/>
      <c r="E1265" s="640"/>
      <c r="F1265" s="1"/>
      <c r="G1265" s="1"/>
      <c r="H1265" s="640"/>
      <c r="I1265" s="1"/>
    </row>
    <row r="1266" spans="4:9" ht="20.25" customHeight="1">
      <c r="D1266" s="640"/>
      <c r="E1266" s="640"/>
      <c r="F1266" s="1"/>
      <c r="G1266" s="1"/>
      <c r="H1266" s="640"/>
      <c r="I1266" s="1"/>
    </row>
    <row r="1267" spans="4:9" ht="20.25" customHeight="1">
      <c r="D1267" s="640"/>
      <c r="E1267" s="640"/>
      <c r="F1267" s="1"/>
      <c r="G1267" s="1"/>
      <c r="H1267" s="640"/>
      <c r="I1267" s="1"/>
    </row>
    <row r="1268" spans="4:9" ht="20.25" customHeight="1">
      <c r="D1268" s="640"/>
      <c r="E1268" s="640"/>
      <c r="F1268" s="1"/>
      <c r="G1268" s="1"/>
      <c r="H1268" s="640"/>
      <c r="I1268" s="1"/>
    </row>
    <row r="1269" spans="4:9" ht="20.25" customHeight="1">
      <c r="D1269" s="640"/>
      <c r="E1269" s="640"/>
      <c r="F1269" s="1"/>
      <c r="G1269" s="1"/>
      <c r="H1269" s="640"/>
      <c r="I1269" s="1"/>
    </row>
    <row r="1270" spans="4:9" ht="20.25" customHeight="1">
      <c r="D1270" s="640"/>
      <c r="E1270" s="640"/>
      <c r="F1270" s="1"/>
      <c r="G1270" s="1"/>
      <c r="H1270" s="640"/>
      <c r="I1270" s="1"/>
    </row>
    <row r="1271" spans="4:9" ht="20.25" customHeight="1">
      <c r="D1271" s="640"/>
      <c r="E1271" s="640"/>
      <c r="F1271" s="1"/>
      <c r="G1271" s="1"/>
      <c r="H1271" s="640"/>
      <c r="I1271" s="1"/>
    </row>
    <row r="1272" spans="4:9" ht="20.25" customHeight="1">
      <c r="D1272" s="640"/>
      <c r="E1272" s="640"/>
      <c r="F1272" s="1"/>
      <c r="G1272" s="1"/>
      <c r="H1272" s="640"/>
      <c r="I1272" s="1"/>
    </row>
    <row r="1273" spans="4:9" ht="20.25" customHeight="1">
      <c r="D1273" s="640"/>
      <c r="E1273" s="640"/>
      <c r="F1273" s="1"/>
      <c r="G1273" s="1"/>
      <c r="H1273" s="640"/>
      <c r="I1273" s="1"/>
    </row>
    <row r="1274" spans="4:9" ht="20.25" customHeight="1">
      <c r="D1274" s="640"/>
      <c r="E1274" s="640"/>
      <c r="F1274" s="1"/>
      <c r="G1274" s="1"/>
      <c r="H1274" s="640"/>
      <c r="I1274" s="1"/>
    </row>
    <row r="1275" spans="4:9" ht="20.25" customHeight="1">
      <c r="D1275" s="640"/>
      <c r="E1275" s="640"/>
      <c r="F1275" s="1"/>
      <c r="G1275" s="1"/>
      <c r="H1275" s="640"/>
      <c r="I1275" s="1"/>
    </row>
    <row r="1276" spans="4:9" ht="20.25" customHeight="1">
      <c r="D1276" s="640"/>
      <c r="E1276" s="640"/>
      <c r="F1276" s="1"/>
      <c r="G1276" s="1"/>
      <c r="H1276" s="640"/>
      <c r="I1276" s="1"/>
    </row>
    <row r="1277" spans="4:9" ht="20.25" customHeight="1">
      <c r="D1277" s="640"/>
      <c r="E1277" s="640"/>
      <c r="F1277" s="1"/>
      <c r="G1277" s="1"/>
      <c r="H1277" s="640"/>
      <c r="I1277" s="1"/>
    </row>
    <row r="1278" spans="4:9" ht="20.25" customHeight="1">
      <c r="D1278" s="640"/>
      <c r="E1278" s="640"/>
      <c r="F1278" s="1"/>
      <c r="G1278" s="1"/>
      <c r="H1278" s="640"/>
      <c r="I1278" s="1"/>
    </row>
    <row r="1279" spans="4:9" ht="20.25" customHeight="1">
      <c r="D1279" s="640"/>
      <c r="E1279" s="640"/>
      <c r="F1279" s="1"/>
      <c r="G1279" s="1"/>
      <c r="H1279" s="640"/>
      <c r="I1279" s="1"/>
    </row>
    <row r="1280" spans="4:9" ht="20.25" customHeight="1">
      <c r="D1280" s="640"/>
      <c r="E1280" s="640"/>
      <c r="F1280" s="1"/>
      <c r="G1280" s="1"/>
      <c r="H1280" s="640"/>
      <c r="I1280" s="1"/>
    </row>
    <row r="1281" spans="4:9" ht="20.25" customHeight="1">
      <c r="D1281" s="640"/>
      <c r="E1281" s="640"/>
      <c r="F1281" s="1"/>
      <c r="G1281" s="1"/>
      <c r="H1281" s="640"/>
      <c r="I1281" s="1"/>
    </row>
    <row r="1282" spans="4:9" ht="20.25" customHeight="1">
      <c r="D1282" s="640"/>
      <c r="E1282" s="640"/>
      <c r="F1282" s="1"/>
      <c r="G1282" s="1"/>
      <c r="H1282" s="640"/>
      <c r="I1282" s="1"/>
    </row>
    <row r="1283" spans="4:9" ht="20.25" customHeight="1">
      <c r="D1283" s="640"/>
      <c r="E1283" s="640"/>
      <c r="F1283" s="1"/>
      <c r="G1283" s="1"/>
      <c r="H1283" s="640"/>
      <c r="I1283" s="1"/>
    </row>
    <row r="1284" spans="4:9" ht="20.25" customHeight="1">
      <c r="D1284" s="640"/>
      <c r="E1284" s="640"/>
      <c r="F1284" s="1"/>
      <c r="G1284" s="1"/>
      <c r="H1284" s="640"/>
      <c r="I1284" s="1"/>
    </row>
    <row r="1285" spans="4:9" ht="20.25" customHeight="1">
      <c r="D1285" s="640"/>
      <c r="E1285" s="640"/>
      <c r="F1285" s="1"/>
      <c r="G1285" s="1"/>
      <c r="H1285" s="640"/>
      <c r="I1285" s="1"/>
    </row>
    <row r="1286" spans="4:9" ht="20.25" customHeight="1">
      <c r="D1286" s="640"/>
      <c r="E1286" s="640"/>
      <c r="F1286" s="1"/>
      <c r="G1286" s="1"/>
      <c r="H1286" s="640"/>
      <c r="I1286" s="1"/>
    </row>
    <row r="1287" spans="4:9" ht="20.25" customHeight="1">
      <c r="D1287" s="640"/>
      <c r="E1287" s="640"/>
      <c r="F1287" s="1"/>
      <c r="G1287" s="1"/>
      <c r="H1287" s="640"/>
      <c r="I1287" s="1"/>
    </row>
    <row r="1288" spans="4:9" ht="20.25" customHeight="1">
      <c r="D1288" s="640"/>
      <c r="E1288" s="640"/>
      <c r="F1288" s="1"/>
      <c r="G1288" s="1"/>
      <c r="H1288" s="640"/>
      <c r="I1288" s="1"/>
    </row>
    <row r="1289" spans="4:9" ht="20.25" customHeight="1">
      <c r="D1289" s="640"/>
      <c r="E1289" s="640"/>
      <c r="F1289" s="1"/>
      <c r="G1289" s="1"/>
      <c r="H1289" s="640"/>
      <c r="I1289" s="1"/>
    </row>
    <row r="1290" spans="4:9" ht="20.25" customHeight="1">
      <c r="D1290" s="640"/>
      <c r="E1290" s="640"/>
      <c r="F1290" s="1"/>
      <c r="G1290" s="1"/>
      <c r="H1290" s="640"/>
      <c r="I1290" s="1"/>
    </row>
    <row r="1291" spans="4:9" ht="20.25" customHeight="1">
      <c r="D1291" s="640"/>
      <c r="E1291" s="640"/>
      <c r="F1291" s="1"/>
      <c r="G1291" s="1"/>
      <c r="H1291" s="640"/>
      <c r="I1291" s="1"/>
    </row>
    <row r="1292" spans="4:9" ht="20.25" customHeight="1">
      <c r="D1292" s="640"/>
      <c r="E1292" s="640"/>
      <c r="F1292" s="1"/>
      <c r="G1292" s="1"/>
      <c r="H1292" s="640"/>
      <c r="I1292" s="1"/>
    </row>
    <row r="1293" spans="4:9" ht="20.25" customHeight="1">
      <c r="D1293" s="640"/>
      <c r="E1293" s="640"/>
      <c r="F1293" s="1"/>
      <c r="G1293" s="1"/>
      <c r="H1293" s="640"/>
      <c r="I1293" s="1"/>
    </row>
    <row r="1294" spans="4:9" ht="20.25" customHeight="1">
      <c r="D1294" s="640"/>
      <c r="E1294" s="640"/>
      <c r="F1294" s="1"/>
      <c r="G1294" s="1"/>
      <c r="H1294" s="640"/>
      <c r="I1294" s="1"/>
    </row>
    <row r="1295" spans="4:9" ht="20.25" customHeight="1">
      <c r="D1295" s="640"/>
      <c r="E1295" s="640"/>
      <c r="F1295" s="1"/>
      <c r="G1295" s="1"/>
      <c r="H1295" s="640"/>
      <c r="I1295" s="1"/>
    </row>
    <row r="1296" spans="4:9" ht="20.25" customHeight="1">
      <c r="D1296" s="640"/>
      <c r="E1296" s="640"/>
      <c r="F1296" s="1"/>
      <c r="G1296" s="1"/>
      <c r="H1296" s="640"/>
      <c r="I1296" s="1"/>
    </row>
    <row r="1297" spans="4:9" ht="20.25" customHeight="1">
      <c r="D1297" s="640"/>
      <c r="E1297" s="640"/>
      <c r="F1297" s="1"/>
      <c r="G1297" s="1"/>
      <c r="H1297" s="640"/>
      <c r="I1297" s="1"/>
    </row>
    <row r="1298" spans="4:9" ht="20.25" customHeight="1">
      <c r="D1298" s="640"/>
      <c r="E1298" s="640"/>
      <c r="F1298" s="1"/>
      <c r="G1298" s="1"/>
      <c r="H1298" s="640"/>
      <c r="I1298" s="1"/>
    </row>
    <row r="1299" spans="4:9" ht="20.25" customHeight="1">
      <c r="D1299" s="640"/>
      <c r="E1299" s="640"/>
      <c r="F1299" s="1"/>
      <c r="G1299" s="1"/>
      <c r="H1299" s="640"/>
      <c r="I1299" s="1"/>
    </row>
    <row r="1300" spans="4:9" ht="20.25" customHeight="1">
      <c r="D1300" s="640"/>
      <c r="E1300" s="640"/>
      <c r="F1300" s="1"/>
      <c r="G1300" s="1"/>
      <c r="H1300" s="640"/>
      <c r="I1300" s="1"/>
    </row>
    <row r="1301" spans="4:9" ht="20.25" customHeight="1">
      <c r="D1301" s="640"/>
      <c r="E1301" s="640"/>
      <c r="F1301" s="1"/>
      <c r="G1301" s="1"/>
      <c r="H1301" s="640"/>
      <c r="I1301" s="1"/>
    </row>
    <row r="1302" spans="4:9" ht="20.25" customHeight="1">
      <c r="D1302" s="640"/>
      <c r="E1302" s="640"/>
      <c r="F1302" s="1"/>
      <c r="G1302" s="1"/>
      <c r="H1302" s="640"/>
      <c r="I1302" s="1"/>
    </row>
    <row r="1303" spans="4:9" ht="20.25" customHeight="1">
      <c r="D1303" s="640"/>
      <c r="E1303" s="640"/>
      <c r="F1303" s="1"/>
      <c r="G1303" s="1"/>
      <c r="H1303" s="640"/>
      <c r="I1303" s="1"/>
    </row>
    <row r="1304" spans="4:9" ht="20.25" customHeight="1">
      <c r="D1304" s="640"/>
      <c r="E1304" s="640"/>
      <c r="F1304" s="1"/>
      <c r="G1304" s="1"/>
      <c r="H1304" s="640"/>
      <c r="I1304" s="1"/>
    </row>
    <row r="1305" spans="4:9" ht="20.25" customHeight="1">
      <c r="D1305" s="640"/>
      <c r="E1305" s="640"/>
      <c r="F1305" s="1"/>
      <c r="G1305" s="1"/>
      <c r="H1305" s="640"/>
      <c r="I1305" s="1"/>
    </row>
    <row r="1306" spans="4:9" ht="20.25" customHeight="1">
      <c r="D1306" s="640"/>
      <c r="E1306" s="640"/>
      <c r="F1306" s="1"/>
      <c r="G1306" s="1"/>
      <c r="H1306" s="640"/>
      <c r="I1306" s="1"/>
    </row>
    <row r="1307" spans="4:9" ht="20.25" customHeight="1">
      <c r="D1307" s="640"/>
      <c r="E1307" s="640"/>
      <c r="F1307" s="1"/>
      <c r="G1307" s="1"/>
      <c r="H1307" s="640"/>
      <c r="I1307" s="1"/>
    </row>
    <row r="1308" spans="4:9" ht="20.25" customHeight="1">
      <c r="D1308" s="640"/>
      <c r="E1308" s="640"/>
      <c r="F1308" s="1"/>
      <c r="G1308" s="1"/>
      <c r="H1308" s="640"/>
      <c r="I1308" s="1"/>
    </row>
    <row r="1309" spans="4:9" ht="20.25" customHeight="1">
      <c r="D1309" s="640"/>
      <c r="E1309" s="640"/>
      <c r="F1309" s="1"/>
      <c r="G1309" s="1"/>
      <c r="H1309" s="640"/>
      <c r="I1309" s="1"/>
    </row>
    <row r="1310" spans="4:9" ht="20.25" customHeight="1">
      <c r="D1310" s="640"/>
      <c r="E1310" s="640"/>
      <c r="F1310" s="1"/>
      <c r="G1310" s="1"/>
      <c r="H1310" s="640"/>
      <c r="I1310" s="1"/>
    </row>
    <row r="1311" spans="4:9" ht="20.25" customHeight="1">
      <c r="D1311" s="640"/>
      <c r="E1311" s="640"/>
      <c r="F1311" s="1"/>
      <c r="G1311" s="1"/>
      <c r="H1311" s="640"/>
      <c r="I1311" s="1"/>
    </row>
    <row r="1312" spans="4:9" ht="20.25" customHeight="1">
      <c r="D1312" s="640"/>
      <c r="E1312" s="640"/>
      <c r="F1312" s="1"/>
      <c r="G1312" s="1"/>
      <c r="H1312" s="640"/>
      <c r="I1312" s="1"/>
    </row>
    <row r="1313" spans="4:9" ht="20.25" customHeight="1">
      <c r="D1313" s="640"/>
      <c r="E1313" s="640"/>
      <c r="F1313" s="1"/>
      <c r="G1313" s="1"/>
      <c r="H1313" s="640"/>
      <c r="I1313" s="1"/>
    </row>
    <row r="1314" spans="4:9" ht="20.25" customHeight="1">
      <c r="D1314" s="640"/>
      <c r="E1314" s="640"/>
      <c r="F1314" s="1"/>
      <c r="G1314" s="1"/>
      <c r="H1314" s="640"/>
      <c r="I1314" s="1"/>
    </row>
    <row r="1315" spans="4:9" ht="20.25" customHeight="1">
      <c r="D1315" s="640"/>
      <c r="E1315" s="640"/>
      <c r="F1315" s="1"/>
      <c r="G1315" s="1"/>
      <c r="H1315" s="640"/>
      <c r="I1315" s="1"/>
    </row>
    <row r="1316" spans="4:9" ht="20.25" customHeight="1">
      <c r="D1316" s="640"/>
      <c r="E1316" s="640"/>
      <c r="F1316" s="1"/>
      <c r="G1316" s="1"/>
      <c r="H1316" s="640"/>
      <c r="I1316" s="1"/>
    </row>
    <row r="1317" spans="4:9" ht="20.25" customHeight="1">
      <c r="D1317" s="640"/>
      <c r="E1317" s="640"/>
      <c r="F1317" s="1"/>
      <c r="G1317" s="1"/>
      <c r="H1317" s="640"/>
      <c r="I1317" s="1"/>
    </row>
    <row r="1318" spans="4:9" ht="20.25" customHeight="1">
      <c r="D1318" s="640"/>
      <c r="E1318" s="640"/>
      <c r="F1318" s="1"/>
      <c r="G1318" s="1"/>
      <c r="H1318" s="640"/>
      <c r="I1318" s="1"/>
    </row>
    <row r="1319" spans="4:9" ht="20.25" customHeight="1">
      <c r="D1319" s="640"/>
      <c r="E1319" s="640"/>
      <c r="F1319" s="1"/>
      <c r="G1319" s="1"/>
      <c r="H1319" s="640"/>
      <c r="I1319" s="1"/>
    </row>
    <row r="1320" spans="4:9" ht="20.25" customHeight="1">
      <c r="D1320" s="640"/>
      <c r="E1320" s="640"/>
      <c r="F1320" s="1"/>
      <c r="G1320" s="1"/>
      <c r="H1320" s="640"/>
      <c r="I1320" s="1"/>
    </row>
    <row r="1321" spans="4:9" ht="20.25" customHeight="1">
      <c r="D1321" s="640"/>
      <c r="E1321" s="640"/>
      <c r="F1321" s="1"/>
      <c r="G1321" s="1"/>
      <c r="H1321" s="640"/>
      <c r="I1321" s="1"/>
    </row>
    <row r="1322" spans="4:9" ht="20.25" customHeight="1">
      <c r="D1322" s="640"/>
      <c r="E1322" s="640"/>
      <c r="F1322" s="1"/>
      <c r="G1322" s="1"/>
      <c r="H1322" s="640"/>
      <c r="I1322" s="1"/>
    </row>
    <row r="1323" spans="4:9" ht="20.25" customHeight="1">
      <c r="D1323" s="640"/>
      <c r="E1323" s="640"/>
      <c r="F1323" s="1"/>
      <c r="G1323" s="1"/>
      <c r="H1323" s="640"/>
      <c r="I1323" s="1"/>
    </row>
    <row r="1324" spans="4:9" ht="20.25" customHeight="1">
      <c r="D1324" s="640"/>
      <c r="E1324" s="640"/>
      <c r="F1324" s="1"/>
      <c r="G1324" s="1"/>
      <c r="H1324" s="640"/>
      <c r="I1324" s="1"/>
    </row>
    <row r="1325" spans="4:9" ht="20.25" customHeight="1">
      <c r="D1325" s="640"/>
      <c r="E1325" s="640"/>
      <c r="F1325" s="1"/>
      <c r="G1325" s="1"/>
      <c r="H1325" s="640"/>
      <c r="I1325" s="1"/>
    </row>
    <row r="1326" spans="4:9" ht="20.25" customHeight="1">
      <c r="D1326" s="640"/>
      <c r="E1326" s="640"/>
      <c r="F1326" s="1"/>
      <c r="G1326" s="1"/>
      <c r="H1326" s="640"/>
      <c r="I1326" s="1"/>
    </row>
    <row r="1327" spans="4:9" ht="20.25" customHeight="1">
      <c r="D1327" s="640"/>
      <c r="E1327" s="640"/>
      <c r="F1327" s="1"/>
      <c r="G1327" s="1"/>
      <c r="H1327" s="640"/>
      <c r="I1327" s="1"/>
    </row>
    <row r="1328" spans="4:9" ht="20.25" customHeight="1">
      <c r="D1328" s="640"/>
      <c r="E1328" s="640"/>
      <c r="F1328" s="1"/>
      <c r="G1328" s="1"/>
      <c r="H1328" s="640"/>
      <c r="I1328" s="1"/>
    </row>
    <row r="1329" spans="4:9" ht="20.25" customHeight="1">
      <c r="D1329" s="640"/>
      <c r="E1329" s="640"/>
      <c r="F1329" s="1"/>
      <c r="G1329" s="1"/>
      <c r="H1329" s="640"/>
      <c r="I1329" s="1"/>
    </row>
    <row r="1330" spans="4:9" ht="20.25" customHeight="1">
      <c r="D1330" s="640"/>
      <c r="E1330" s="640"/>
      <c r="F1330" s="1"/>
      <c r="G1330" s="1"/>
      <c r="H1330" s="640"/>
      <c r="I1330" s="1"/>
    </row>
    <row r="1331" spans="4:9" ht="20.25" customHeight="1">
      <c r="D1331" s="640"/>
      <c r="E1331" s="640"/>
      <c r="F1331" s="1"/>
      <c r="G1331" s="1"/>
      <c r="H1331" s="640"/>
      <c r="I1331" s="1"/>
    </row>
    <row r="1332" spans="4:9" ht="20.25" customHeight="1">
      <c r="D1332" s="640"/>
      <c r="E1332" s="640"/>
      <c r="F1332" s="1"/>
      <c r="G1332" s="1"/>
      <c r="H1332" s="640"/>
      <c r="I1332" s="1"/>
    </row>
    <row r="1333" spans="4:9" ht="20.25" customHeight="1">
      <c r="D1333" s="640"/>
      <c r="E1333" s="640"/>
      <c r="F1333" s="1"/>
      <c r="G1333" s="1"/>
      <c r="H1333" s="640"/>
      <c r="I1333" s="1"/>
    </row>
    <row r="1334" spans="4:9" ht="20.25" customHeight="1">
      <c r="D1334" s="640"/>
      <c r="E1334" s="640"/>
      <c r="F1334" s="1"/>
      <c r="G1334" s="1"/>
      <c r="H1334" s="640"/>
      <c r="I1334" s="1"/>
    </row>
    <row r="1335" spans="4:9" ht="20.25" customHeight="1">
      <c r="D1335" s="640"/>
      <c r="E1335" s="640"/>
      <c r="F1335" s="1"/>
      <c r="G1335" s="1"/>
      <c r="H1335" s="640"/>
      <c r="I1335" s="1"/>
    </row>
    <row r="1336" spans="4:9" ht="20.25" customHeight="1">
      <c r="D1336" s="640"/>
      <c r="E1336" s="640"/>
      <c r="F1336" s="1"/>
      <c r="G1336" s="1"/>
      <c r="H1336" s="640"/>
      <c r="I1336" s="1"/>
    </row>
    <row r="1337" spans="4:9" ht="20.25" customHeight="1">
      <c r="D1337" s="640"/>
      <c r="E1337" s="640"/>
      <c r="F1337" s="1"/>
      <c r="G1337" s="1"/>
      <c r="H1337" s="640"/>
      <c r="I1337" s="1"/>
    </row>
    <row r="1338" spans="4:9" ht="20.25" customHeight="1">
      <c r="D1338" s="640"/>
      <c r="E1338" s="640"/>
      <c r="F1338" s="1"/>
      <c r="G1338" s="1"/>
      <c r="H1338" s="640"/>
      <c r="I1338" s="1"/>
    </row>
    <row r="1339" spans="4:9" ht="20.25" customHeight="1">
      <c r="D1339" s="640"/>
      <c r="E1339" s="640"/>
      <c r="F1339" s="1"/>
      <c r="G1339" s="1"/>
      <c r="H1339" s="640"/>
      <c r="I1339" s="1"/>
    </row>
    <row r="1340" spans="4:9" ht="20.25" customHeight="1">
      <c r="D1340" s="640"/>
      <c r="E1340" s="640"/>
      <c r="F1340" s="1"/>
      <c r="G1340" s="1"/>
      <c r="H1340" s="640"/>
      <c r="I1340" s="1"/>
    </row>
    <row r="1341" spans="4:9" ht="20.25" customHeight="1">
      <c r="D1341" s="640"/>
      <c r="E1341" s="640"/>
      <c r="F1341" s="1"/>
      <c r="G1341" s="1"/>
      <c r="H1341" s="640"/>
      <c r="I1341" s="1"/>
    </row>
    <row r="1342" spans="4:9" ht="20.25" customHeight="1">
      <c r="D1342" s="640"/>
      <c r="E1342" s="640"/>
      <c r="F1342" s="1"/>
      <c r="G1342" s="1"/>
      <c r="H1342" s="640"/>
      <c r="I1342" s="1"/>
    </row>
    <row r="1343" spans="4:9" ht="20.25" customHeight="1">
      <c r="D1343" s="640"/>
      <c r="E1343" s="640"/>
      <c r="F1343" s="1"/>
      <c r="G1343" s="1"/>
      <c r="H1343" s="640"/>
      <c r="I1343" s="1"/>
    </row>
    <row r="1344" spans="4:9" ht="20.25" customHeight="1">
      <c r="D1344" s="640"/>
      <c r="E1344" s="640"/>
      <c r="F1344" s="1"/>
      <c r="G1344" s="1"/>
      <c r="H1344" s="640"/>
      <c r="I1344" s="1"/>
    </row>
    <row r="1345" spans="4:9" ht="20.25" customHeight="1">
      <c r="D1345" s="640"/>
      <c r="E1345" s="640"/>
      <c r="F1345" s="1"/>
      <c r="G1345" s="1"/>
      <c r="H1345" s="640"/>
      <c r="I1345" s="1"/>
    </row>
    <row r="1346" spans="4:9" ht="20.25" customHeight="1">
      <c r="D1346" s="640"/>
      <c r="E1346" s="640"/>
      <c r="F1346" s="1"/>
      <c r="G1346" s="1"/>
      <c r="H1346" s="640"/>
      <c r="I1346" s="1"/>
    </row>
    <row r="1347" spans="4:9" ht="20.25" customHeight="1">
      <c r="D1347" s="640"/>
      <c r="E1347" s="640"/>
      <c r="F1347" s="1"/>
      <c r="G1347" s="1"/>
      <c r="H1347" s="640"/>
      <c r="I1347" s="1"/>
    </row>
    <row r="1348" spans="4:9" ht="20.25" customHeight="1">
      <c r="D1348" s="640"/>
      <c r="E1348" s="640"/>
      <c r="F1348" s="1"/>
      <c r="G1348" s="1"/>
      <c r="H1348" s="640"/>
      <c r="I1348" s="1"/>
    </row>
    <row r="1349" spans="4:9" ht="20.25" customHeight="1">
      <c r="D1349" s="640"/>
      <c r="E1349" s="640"/>
      <c r="F1349" s="1"/>
      <c r="G1349" s="1"/>
      <c r="H1349" s="640"/>
      <c r="I1349" s="1"/>
    </row>
    <row r="1350" spans="4:9" ht="20.25" customHeight="1">
      <c r="D1350" s="640"/>
      <c r="E1350" s="640"/>
      <c r="F1350" s="1"/>
      <c r="G1350" s="1"/>
      <c r="H1350" s="640"/>
      <c r="I1350" s="1"/>
    </row>
    <row r="1351" spans="4:9" ht="20.25" customHeight="1">
      <c r="D1351" s="640"/>
      <c r="E1351" s="640"/>
      <c r="F1351" s="1"/>
      <c r="G1351" s="1"/>
      <c r="H1351" s="640"/>
      <c r="I1351" s="1"/>
    </row>
    <row r="1352" spans="4:9" ht="20.25" customHeight="1">
      <c r="D1352" s="640"/>
      <c r="E1352" s="640"/>
      <c r="F1352" s="1"/>
      <c r="G1352" s="1"/>
      <c r="H1352" s="640"/>
      <c r="I1352" s="1"/>
    </row>
    <row r="1353" spans="4:9" ht="20.25" customHeight="1">
      <c r="D1353" s="640"/>
      <c r="E1353" s="640"/>
      <c r="F1353" s="1"/>
      <c r="G1353" s="1"/>
      <c r="H1353" s="640"/>
      <c r="I1353" s="1"/>
    </row>
    <row r="1354" spans="4:9" ht="20.25" customHeight="1">
      <c r="D1354" s="640"/>
      <c r="E1354" s="640"/>
      <c r="F1354" s="1"/>
      <c r="G1354" s="1"/>
      <c r="H1354" s="640"/>
      <c r="I1354" s="1"/>
    </row>
    <row r="1355" spans="4:9" ht="20.25" customHeight="1">
      <c r="D1355" s="640"/>
      <c r="E1355" s="640"/>
      <c r="F1355" s="1"/>
      <c r="G1355" s="1"/>
      <c r="H1355" s="640"/>
      <c r="I1355" s="1"/>
    </row>
    <row r="1356" spans="4:9" ht="20.25" customHeight="1">
      <c r="D1356" s="640"/>
      <c r="E1356" s="640"/>
      <c r="F1356" s="1"/>
      <c r="G1356" s="1"/>
      <c r="H1356" s="640"/>
      <c r="I1356" s="1"/>
    </row>
    <row r="1357" spans="4:9" ht="20.25" customHeight="1">
      <c r="D1357" s="640"/>
      <c r="E1357" s="640"/>
      <c r="F1357" s="1"/>
      <c r="G1357" s="1"/>
      <c r="H1357" s="640"/>
      <c r="I1357" s="1"/>
    </row>
    <row r="1358" spans="4:9" ht="20.25" customHeight="1">
      <c r="D1358" s="640"/>
      <c r="E1358" s="640"/>
      <c r="F1358" s="1"/>
      <c r="G1358" s="1"/>
      <c r="H1358" s="640"/>
      <c r="I1358" s="1"/>
    </row>
    <row r="1359" spans="4:9" ht="20.25" customHeight="1">
      <c r="D1359" s="640"/>
      <c r="E1359" s="640"/>
      <c r="F1359" s="1"/>
      <c r="G1359" s="1"/>
      <c r="H1359" s="640"/>
      <c r="I1359" s="1"/>
    </row>
    <row r="1360" spans="4:9" ht="20.25" customHeight="1">
      <c r="D1360" s="640"/>
      <c r="E1360" s="640"/>
      <c r="F1360" s="1"/>
      <c r="G1360" s="1"/>
      <c r="H1360" s="640"/>
      <c r="I1360" s="1"/>
    </row>
    <row r="1361" spans="4:9" ht="20.25" customHeight="1">
      <c r="D1361" s="640"/>
      <c r="E1361" s="640"/>
      <c r="F1361" s="1"/>
      <c r="G1361" s="1"/>
      <c r="H1361" s="640"/>
      <c r="I1361" s="1"/>
    </row>
    <row r="1362" spans="4:9" ht="20.25" customHeight="1">
      <c r="D1362" s="640"/>
      <c r="E1362" s="640"/>
      <c r="F1362" s="1"/>
      <c r="G1362" s="1"/>
      <c r="H1362" s="640"/>
      <c r="I1362" s="1"/>
    </row>
    <row r="1363" spans="4:9" ht="20.25" customHeight="1">
      <c r="D1363" s="640"/>
      <c r="E1363" s="640"/>
      <c r="F1363" s="1"/>
      <c r="G1363" s="1"/>
      <c r="H1363" s="640"/>
      <c r="I1363" s="1"/>
    </row>
    <row r="1364" spans="4:9" ht="20.25" customHeight="1">
      <c r="D1364" s="640"/>
      <c r="E1364" s="640"/>
      <c r="F1364" s="1"/>
      <c r="G1364" s="1"/>
      <c r="H1364" s="640"/>
      <c r="I1364" s="1"/>
    </row>
    <row r="1365" spans="4:9" ht="20.25" customHeight="1">
      <c r="D1365" s="640"/>
      <c r="E1365" s="640"/>
      <c r="F1365" s="1"/>
      <c r="G1365" s="1"/>
      <c r="H1365" s="640"/>
      <c r="I1365" s="1"/>
    </row>
    <row r="1366" spans="4:9" ht="20.25" customHeight="1">
      <c r="D1366" s="640"/>
      <c r="E1366" s="640"/>
      <c r="F1366" s="1"/>
      <c r="G1366" s="1"/>
      <c r="H1366" s="640"/>
      <c r="I1366" s="1"/>
    </row>
    <row r="1367" spans="4:9" ht="20.25" customHeight="1">
      <c r="D1367" s="640"/>
      <c r="E1367" s="640"/>
      <c r="F1367" s="1"/>
      <c r="G1367" s="1"/>
      <c r="H1367" s="640"/>
      <c r="I1367" s="1"/>
    </row>
    <row r="1368" spans="4:9" ht="20.25" customHeight="1">
      <c r="D1368" s="640"/>
      <c r="E1368" s="640"/>
      <c r="F1368" s="1"/>
      <c r="G1368" s="1"/>
      <c r="H1368" s="640"/>
      <c r="I1368" s="1"/>
    </row>
    <row r="1369" spans="4:9" ht="20.25" customHeight="1">
      <c r="D1369" s="640"/>
      <c r="E1369" s="640"/>
      <c r="F1369" s="1"/>
      <c r="G1369" s="1"/>
      <c r="H1369" s="640"/>
      <c r="I1369" s="1"/>
    </row>
    <row r="1370" spans="4:9" ht="20.25" customHeight="1">
      <c r="D1370" s="640"/>
      <c r="E1370" s="640"/>
      <c r="F1370" s="1"/>
      <c r="G1370" s="1"/>
      <c r="H1370" s="640"/>
      <c r="I1370" s="1"/>
    </row>
    <row r="1371" spans="4:9" ht="20.25" customHeight="1">
      <c r="D1371" s="640"/>
      <c r="E1371" s="640"/>
      <c r="F1371" s="1"/>
      <c r="G1371" s="1"/>
      <c r="H1371" s="640"/>
      <c r="I1371" s="1"/>
    </row>
    <row r="1372" spans="4:9" ht="20.25" customHeight="1">
      <c r="D1372" s="640"/>
      <c r="E1372" s="640"/>
      <c r="F1372" s="1"/>
      <c r="G1372" s="1"/>
      <c r="H1372" s="640"/>
      <c r="I1372" s="1"/>
    </row>
    <row r="1373" spans="4:9" ht="20.25" customHeight="1">
      <c r="D1373" s="640"/>
      <c r="E1373" s="640"/>
      <c r="F1373" s="1"/>
      <c r="G1373" s="1"/>
      <c r="H1373" s="640"/>
      <c r="I1373" s="1"/>
    </row>
    <row r="1374" spans="4:9" ht="20.25" customHeight="1">
      <c r="D1374" s="640"/>
      <c r="E1374" s="640"/>
      <c r="F1374" s="1"/>
      <c r="G1374" s="1"/>
      <c r="H1374" s="640"/>
      <c r="I1374" s="1"/>
    </row>
    <row r="1375" spans="4:9" ht="20.25" customHeight="1">
      <c r="D1375" s="640"/>
      <c r="E1375" s="640"/>
      <c r="F1375" s="1"/>
      <c r="G1375" s="1"/>
      <c r="H1375" s="640"/>
      <c r="I1375" s="1"/>
    </row>
    <row r="1376" spans="4:9" ht="20.25" customHeight="1">
      <c r="D1376" s="640"/>
      <c r="E1376" s="640"/>
      <c r="F1376" s="1"/>
      <c r="G1376" s="1"/>
      <c r="H1376" s="640"/>
      <c r="I1376" s="1"/>
    </row>
    <row r="1377" spans="4:9" ht="20.25" customHeight="1">
      <c r="D1377" s="640"/>
      <c r="E1377" s="640"/>
      <c r="F1377" s="1"/>
      <c r="G1377" s="1"/>
      <c r="H1377" s="640"/>
      <c r="I1377" s="1"/>
    </row>
    <row r="1378" spans="4:9" ht="20.25" customHeight="1">
      <c r="D1378" s="640"/>
      <c r="E1378" s="640"/>
      <c r="F1378" s="1"/>
      <c r="G1378" s="1"/>
      <c r="H1378" s="640"/>
      <c r="I1378" s="1"/>
    </row>
    <row r="1379" spans="4:9" ht="20.25" customHeight="1">
      <c r="D1379" s="640"/>
      <c r="E1379" s="640"/>
      <c r="F1379" s="1"/>
      <c r="G1379" s="1"/>
      <c r="H1379" s="640"/>
      <c r="I1379" s="1"/>
    </row>
  </sheetData>
  <sheetProtection/>
  <mergeCells count="7">
    <mergeCell ref="H5:H6"/>
    <mergeCell ref="I5:I6"/>
    <mergeCell ref="A7:A8"/>
    <mergeCell ref="A1:I1"/>
    <mergeCell ref="A2:I2"/>
    <mergeCell ref="A5:C5"/>
    <mergeCell ref="D5:G5"/>
  </mergeCells>
  <printOptions horizontalCentered="1"/>
  <pageMargins left="0.38" right="0.196850393700787" top="0.63" bottom="0.45" header="0.511811023622047" footer="0.236220472440945"/>
  <pageSetup horizontalDpi="600" verticalDpi="600" orientation="landscape" paperSize="9" r:id="rId1"/>
  <headerFooter alignWithMargins="0">
    <oddFooter>&amp;C&amp;P쪽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00"/>
  <sheetViews>
    <sheetView showGridLines="0" tabSelected="1" view="pageBreakPreview" zoomScale="90" zoomScaleNormal="85" zoomScaleSheetLayoutView="90" zoomScalePageLayoutView="0" workbookViewId="0" topLeftCell="A1">
      <pane xSplit="3" ySplit="5" topLeftCell="D141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142" sqref="D142"/>
    </sheetView>
  </sheetViews>
  <sheetFormatPr defaultColWidth="8.88671875" defaultRowHeight="13.5"/>
  <cols>
    <col min="1" max="1" width="12.6640625" style="13" customWidth="1"/>
    <col min="2" max="2" width="10.4453125" style="13" customWidth="1"/>
    <col min="3" max="3" width="11.6640625" style="13" bestFit="1" customWidth="1"/>
    <col min="4" max="4" width="13.6640625" style="667" customWidth="1"/>
    <col min="5" max="5" width="12.3359375" style="729" customWidth="1"/>
    <col min="6" max="6" width="12.88671875" style="191" customWidth="1"/>
    <col min="7" max="7" width="13.77734375" style="229" customWidth="1"/>
    <col min="8" max="8" width="14.99609375" style="667" customWidth="1"/>
    <col min="9" max="9" width="12.3359375" style="320" bestFit="1" customWidth="1"/>
    <col min="10" max="16384" width="8.88671875" style="1" customWidth="1"/>
  </cols>
  <sheetData>
    <row r="1" spans="1:9" ht="32.25" customHeight="1">
      <c r="A1" s="1326" t="str">
        <f>'(수입-교비회계)'!A1:I1</f>
        <v>2017학년도 교비회계 추경예산서</v>
      </c>
      <c r="B1" s="1326"/>
      <c r="C1" s="1326"/>
      <c r="D1" s="1326"/>
      <c r="E1" s="1326"/>
      <c r="F1" s="1326"/>
      <c r="G1" s="1326"/>
      <c r="H1" s="1326"/>
      <c r="I1" s="1326"/>
    </row>
    <row r="2" spans="1:9" ht="30.75" customHeight="1">
      <c r="A2" s="1334" t="str">
        <f>'(수입-교비회계)'!A2:I2</f>
        <v>(2017. 3. 1 부터 2018. 2. 28 까지)</v>
      </c>
      <c r="B2" s="1334"/>
      <c r="C2" s="1334"/>
      <c r="D2" s="1334"/>
      <c r="E2" s="1334"/>
      <c r="F2" s="1334"/>
      <c r="G2" s="1334"/>
      <c r="H2" s="1334"/>
      <c r="I2" s="1334"/>
    </row>
    <row r="3" spans="1:9" ht="25.5" customHeight="1">
      <c r="A3" s="67" t="s">
        <v>517</v>
      </c>
      <c r="D3" s="641" t="s">
        <v>518</v>
      </c>
      <c r="E3" s="374" t="s">
        <v>518</v>
      </c>
      <c r="F3" s="31"/>
      <c r="G3" s="228"/>
      <c r="H3" s="641"/>
      <c r="I3" s="308" t="s">
        <v>440</v>
      </c>
    </row>
    <row r="4" spans="1:9" s="2" customFormat="1" ht="30" customHeight="1">
      <c r="A4" s="14"/>
      <c r="B4" s="15" t="s">
        <v>519</v>
      </c>
      <c r="C4" s="16"/>
      <c r="D4" s="1331" t="s">
        <v>1252</v>
      </c>
      <c r="E4" s="1332"/>
      <c r="F4" s="1332"/>
      <c r="G4" s="1333"/>
      <c r="H4" s="1320" t="s">
        <v>1253</v>
      </c>
      <c r="I4" s="1335" t="s">
        <v>442</v>
      </c>
    </row>
    <row r="5" spans="1:9" ht="30" customHeight="1">
      <c r="A5" s="17" t="s">
        <v>443</v>
      </c>
      <c r="B5" s="18" t="s">
        <v>444</v>
      </c>
      <c r="C5" s="18" t="s">
        <v>445</v>
      </c>
      <c r="D5" s="674" t="s">
        <v>446</v>
      </c>
      <c r="E5" s="674" t="s">
        <v>667</v>
      </c>
      <c r="F5" s="233" t="s">
        <v>447</v>
      </c>
      <c r="G5" s="330" t="s">
        <v>448</v>
      </c>
      <c r="H5" s="1321"/>
      <c r="I5" s="1336"/>
    </row>
    <row r="6" spans="1:9" ht="30" customHeight="1">
      <c r="A6" s="1337" t="s">
        <v>520</v>
      </c>
      <c r="B6" s="19"/>
      <c r="C6" s="19"/>
      <c r="D6" s="694"/>
      <c r="E6" s="722"/>
      <c r="F6" s="261"/>
      <c r="G6" s="262"/>
      <c r="H6" s="642"/>
      <c r="I6" s="309"/>
    </row>
    <row r="7" spans="1:9" ht="30" customHeight="1" thickBot="1">
      <c r="A7" s="1338"/>
      <c r="B7" s="20"/>
      <c r="C7" s="20"/>
      <c r="D7" s="695">
        <f>D9+D45+D105+D133+D143+D153+D159+D181+D207+D216</f>
        <v>63412118</v>
      </c>
      <c r="E7" s="723">
        <f>E9+E45+E105+E133+E143+E153+E159+E181+E207+E216</f>
        <v>96630917</v>
      </c>
      <c r="F7" s="263">
        <f>F9+F45+F105+F133+F143+F153+F159+F181+F207+F216</f>
        <v>3700000</v>
      </c>
      <c r="G7" s="264">
        <f>G9+G45+G105+G133+G143+G153+G159+G181+G207+G216</f>
        <v>156343036</v>
      </c>
      <c r="H7" s="695">
        <f>H9+H45+H105+H133+H143+H153+H159+H181+H207+H216</f>
        <v>127527178</v>
      </c>
      <c r="I7" s="310">
        <f>G7-H7</f>
        <v>28815858</v>
      </c>
    </row>
    <row r="8" spans="1:9" ht="30" customHeight="1" thickTop="1">
      <c r="A8" s="21">
        <v>4100</v>
      </c>
      <c r="B8" s="22"/>
      <c r="C8" s="22"/>
      <c r="D8" s="696"/>
      <c r="E8" s="724"/>
      <c r="F8" s="265"/>
      <c r="G8" s="266"/>
      <c r="H8" s="886"/>
      <c r="I8" s="311"/>
    </row>
    <row r="9" spans="1:9" ht="30" customHeight="1">
      <c r="A9" s="25" t="s">
        <v>521</v>
      </c>
      <c r="B9" s="24"/>
      <c r="C9" s="24"/>
      <c r="D9" s="657">
        <f>D11+D29</f>
        <v>34818936</v>
      </c>
      <c r="E9" s="706">
        <f>E11+E29</f>
        <v>3422731</v>
      </c>
      <c r="F9" s="267">
        <f>F11+F29</f>
        <v>0</v>
      </c>
      <c r="G9" s="268">
        <f>D9+E9-F9</f>
        <v>38241667</v>
      </c>
      <c r="H9" s="657">
        <f>H11+H29</f>
        <v>36882132</v>
      </c>
      <c r="I9" s="312">
        <f>G9-H9</f>
        <v>1359535</v>
      </c>
    </row>
    <row r="10" spans="1:9" ht="30" customHeight="1">
      <c r="A10" s="25"/>
      <c r="B10" s="26">
        <v>4110</v>
      </c>
      <c r="C10" s="27"/>
      <c r="D10" s="697"/>
      <c r="E10" s="715"/>
      <c r="F10" s="269"/>
      <c r="G10" s="270"/>
      <c r="H10" s="709"/>
      <c r="I10" s="313"/>
    </row>
    <row r="11" spans="1:9" ht="30" customHeight="1">
      <c r="A11" s="25"/>
      <c r="B11" s="27" t="s">
        <v>522</v>
      </c>
      <c r="C11" s="24"/>
      <c r="D11" s="657">
        <f>D13+D15+D17+D19+D21+D23+D25+D27</f>
        <v>32241416</v>
      </c>
      <c r="E11" s="706">
        <f>E13+E15+E17+E19+E21+E23+E25+E27</f>
        <v>2975930</v>
      </c>
      <c r="F11" s="267">
        <f>F13+F15+F17+F19+F21+F23+F25+F27</f>
        <v>0</v>
      </c>
      <c r="G11" s="268">
        <f>D11+E11-F11</f>
        <v>35217346</v>
      </c>
      <c r="H11" s="657">
        <f>H13+H15+H17+H19+H21+H23+H25+H27</f>
        <v>34072356</v>
      </c>
      <c r="I11" s="312">
        <f>G11-H11</f>
        <v>1144990</v>
      </c>
    </row>
    <row r="12" spans="1:9" ht="30" customHeight="1">
      <c r="A12" s="25"/>
      <c r="B12" s="27"/>
      <c r="C12" s="26">
        <v>4111</v>
      </c>
      <c r="D12" s="698"/>
      <c r="E12" s="715"/>
      <c r="F12" s="269"/>
      <c r="G12" s="270"/>
      <c r="H12" s="709"/>
      <c r="I12" s="313"/>
    </row>
    <row r="13" spans="1:9" ht="30" customHeight="1">
      <c r="A13" s="25"/>
      <c r="B13" s="27"/>
      <c r="C13" s="27" t="s">
        <v>523</v>
      </c>
      <c r="D13" s="699">
        <v>7836392</v>
      </c>
      <c r="E13" s="715">
        <f>'(지출-비등록금회계)'!D13</f>
        <v>0</v>
      </c>
      <c r="F13" s="269">
        <v>0</v>
      </c>
      <c r="G13" s="268">
        <f>D13+E13-F13</f>
        <v>7836392</v>
      </c>
      <c r="H13" s="709">
        <v>21887556</v>
      </c>
      <c r="I13" s="313">
        <f>G13-H13</f>
        <v>-14051164</v>
      </c>
    </row>
    <row r="14" spans="1:9" ht="30" customHeight="1">
      <c r="A14" s="25"/>
      <c r="B14" s="27"/>
      <c r="C14" s="28">
        <v>4112</v>
      </c>
      <c r="D14" s="700" t="s">
        <v>452</v>
      </c>
      <c r="E14" s="725"/>
      <c r="F14" s="271"/>
      <c r="G14" s="272"/>
      <c r="H14" s="740"/>
      <c r="I14" s="314"/>
    </row>
    <row r="15" spans="1:9" ht="30" customHeight="1">
      <c r="A15" s="25"/>
      <c r="B15" s="27"/>
      <c r="C15" s="24" t="s">
        <v>524</v>
      </c>
      <c r="D15" s="701">
        <f>'(지출-등록금회계)'!D19</f>
        <v>0</v>
      </c>
      <c r="E15" s="706">
        <f>'(지출-비등록금회계)'!D20</f>
        <v>0</v>
      </c>
      <c r="F15" s="273">
        <v>0</v>
      </c>
      <c r="G15" s="268">
        <f>D15+E15-F15</f>
        <v>0</v>
      </c>
      <c r="H15" s="657">
        <v>0</v>
      </c>
      <c r="I15" s="312">
        <f>G15-H15</f>
        <v>0</v>
      </c>
    </row>
    <row r="16" spans="1:9" ht="30" customHeight="1">
      <c r="A16" s="25"/>
      <c r="B16" s="27"/>
      <c r="C16" s="27">
        <v>4113</v>
      </c>
      <c r="D16" s="697"/>
      <c r="E16" s="715"/>
      <c r="F16" s="269"/>
      <c r="G16" s="270"/>
      <c r="H16" s="709"/>
      <c r="I16" s="313"/>
    </row>
    <row r="17" spans="1:9" ht="30" customHeight="1">
      <c r="A17" s="25"/>
      <c r="B17" s="27"/>
      <c r="C17" s="24" t="s">
        <v>525</v>
      </c>
      <c r="D17" s="701">
        <v>21095850</v>
      </c>
      <c r="E17" s="706">
        <v>307966</v>
      </c>
      <c r="F17" s="273">
        <v>0</v>
      </c>
      <c r="G17" s="268">
        <f>D17+E17-F17</f>
        <v>21403816</v>
      </c>
      <c r="H17" s="657">
        <v>6321000</v>
      </c>
      <c r="I17" s="312">
        <f>G17-H17</f>
        <v>15082816</v>
      </c>
    </row>
    <row r="18" spans="1:9" ht="30" customHeight="1">
      <c r="A18" s="25"/>
      <c r="B18" s="27"/>
      <c r="C18" s="27">
        <v>4114</v>
      </c>
      <c r="D18" s="697"/>
      <c r="E18" s="715"/>
      <c r="F18" s="269"/>
      <c r="G18" s="270"/>
      <c r="H18" s="709"/>
      <c r="I18" s="313"/>
    </row>
    <row r="19" spans="1:9" ht="30" customHeight="1">
      <c r="A19" s="25"/>
      <c r="B19" s="27"/>
      <c r="C19" s="32" t="s">
        <v>526</v>
      </c>
      <c r="D19" s="699">
        <f>'(지출-등록금회계)'!D33</f>
        <v>0</v>
      </c>
      <c r="E19" s="715">
        <v>2284933</v>
      </c>
      <c r="F19" s="269">
        <v>0</v>
      </c>
      <c r="G19" s="268">
        <f>D19+E19-F19</f>
        <v>2284933</v>
      </c>
      <c r="H19" s="709">
        <v>2110800</v>
      </c>
      <c r="I19" s="313">
        <f>G19-H19</f>
        <v>174133</v>
      </c>
    </row>
    <row r="20" spans="1:9" ht="30" customHeight="1">
      <c r="A20" s="25"/>
      <c r="B20" s="27"/>
      <c r="C20" s="28">
        <v>4115</v>
      </c>
      <c r="D20" s="702"/>
      <c r="E20" s="725"/>
      <c r="F20" s="271"/>
      <c r="G20" s="272"/>
      <c r="H20" s="740"/>
      <c r="I20" s="314"/>
    </row>
    <row r="21" spans="1:9" ht="30" customHeight="1">
      <c r="A21" s="25"/>
      <c r="B21" s="27"/>
      <c r="C21" s="24" t="s">
        <v>527</v>
      </c>
      <c r="D21" s="701">
        <v>1510448</v>
      </c>
      <c r="E21" s="706">
        <v>0</v>
      </c>
      <c r="F21" s="273">
        <v>0</v>
      </c>
      <c r="G21" s="268">
        <f>D21+E21-F21</f>
        <v>1510448</v>
      </c>
      <c r="H21" s="657">
        <v>1625000</v>
      </c>
      <c r="I21" s="312">
        <f>G21-H21</f>
        <v>-114552</v>
      </c>
    </row>
    <row r="22" spans="1:9" ht="30" customHeight="1">
      <c r="A22" s="41"/>
      <c r="B22" s="125"/>
      <c r="C22" s="28">
        <v>4116</v>
      </c>
      <c r="D22" s="702"/>
      <c r="E22" s="725"/>
      <c r="F22" s="271"/>
      <c r="G22" s="276"/>
      <c r="H22" s="887"/>
      <c r="I22" s="316"/>
    </row>
    <row r="23" spans="1:9" ht="30" customHeight="1">
      <c r="A23" s="25"/>
      <c r="B23" s="27"/>
      <c r="C23" s="24" t="s">
        <v>528</v>
      </c>
      <c r="D23" s="701">
        <v>101576</v>
      </c>
      <c r="E23" s="706">
        <v>380371</v>
      </c>
      <c r="F23" s="273">
        <v>0</v>
      </c>
      <c r="G23" s="268">
        <f>D23+E23-F23</f>
        <v>481947</v>
      </c>
      <c r="H23" s="657">
        <v>537000</v>
      </c>
      <c r="I23" s="312">
        <f>G23-H23</f>
        <v>-55053</v>
      </c>
    </row>
    <row r="24" spans="1:9" ht="30" customHeight="1">
      <c r="A24" s="25"/>
      <c r="B24" s="27"/>
      <c r="C24" s="27">
        <v>4117</v>
      </c>
      <c r="D24" s="697"/>
      <c r="E24" s="715"/>
      <c r="F24" s="269"/>
      <c r="G24" s="270"/>
      <c r="H24" s="709"/>
      <c r="I24" s="313"/>
    </row>
    <row r="25" spans="1:9" ht="30" customHeight="1">
      <c r="A25" s="25"/>
      <c r="B25" s="27"/>
      <c r="C25" s="24" t="s">
        <v>529</v>
      </c>
      <c r="D25" s="701">
        <f>'(지출-등록금회계)'!D56</f>
        <v>0</v>
      </c>
      <c r="E25" s="706">
        <f>'(지출-비등록금회계)'!D45</f>
        <v>0</v>
      </c>
      <c r="F25" s="273">
        <v>0</v>
      </c>
      <c r="G25" s="268">
        <f>D25+E25-F25</f>
        <v>0</v>
      </c>
      <c r="H25" s="657">
        <v>0</v>
      </c>
      <c r="I25" s="312">
        <f>G25-H25</f>
        <v>0</v>
      </c>
    </row>
    <row r="26" spans="1:9" ht="30" customHeight="1">
      <c r="A26" s="25"/>
      <c r="B26" s="27"/>
      <c r="C26" s="27">
        <v>4118</v>
      </c>
      <c r="D26" s="697"/>
      <c r="E26" s="715"/>
      <c r="F26" s="269"/>
      <c r="G26" s="270"/>
      <c r="H26" s="709"/>
      <c r="I26" s="313"/>
    </row>
    <row r="27" spans="1:9" ht="30" customHeight="1">
      <c r="A27" s="25"/>
      <c r="B27" s="24"/>
      <c r="C27" s="24" t="s">
        <v>530</v>
      </c>
      <c r="D27" s="701">
        <v>1697150</v>
      </c>
      <c r="E27" s="706">
        <v>2660</v>
      </c>
      <c r="F27" s="273">
        <v>0</v>
      </c>
      <c r="G27" s="268">
        <f>D27+E27-F27</f>
        <v>1699810</v>
      </c>
      <c r="H27" s="657">
        <v>1591000</v>
      </c>
      <c r="I27" s="312">
        <f>G27-H27</f>
        <v>108810</v>
      </c>
    </row>
    <row r="28" spans="1:9" ht="30" customHeight="1">
      <c r="A28" s="25"/>
      <c r="B28" s="27">
        <v>4120</v>
      </c>
      <c r="C28" s="27"/>
      <c r="D28" s="697"/>
      <c r="E28" s="715"/>
      <c r="F28" s="269"/>
      <c r="G28" s="270"/>
      <c r="H28" s="709"/>
      <c r="I28" s="313"/>
    </row>
    <row r="29" spans="1:9" ht="30" customHeight="1">
      <c r="A29" s="25"/>
      <c r="B29" s="27" t="s">
        <v>531</v>
      </c>
      <c r="C29" s="24"/>
      <c r="D29" s="657">
        <f>D31+D33+D35+D37+D39+D41+D43</f>
        <v>2577520</v>
      </c>
      <c r="E29" s="706">
        <f>E31+E33+E35+E37+E39+E41+E43</f>
        <v>446801</v>
      </c>
      <c r="F29" s="267">
        <f>F31+F33+F35+F37+F39+F41+F43</f>
        <v>0</v>
      </c>
      <c r="G29" s="268">
        <f>D29+E29-F29</f>
        <v>3024321</v>
      </c>
      <c r="H29" s="657">
        <f>H31+H33+H35+H37+H39+H41+H43</f>
        <v>2809776</v>
      </c>
      <c r="I29" s="312">
        <f>G29-H29</f>
        <v>214545</v>
      </c>
    </row>
    <row r="30" spans="1:9" ht="30" customHeight="1">
      <c r="A30" s="25"/>
      <c r="B30" s="27"/>
      <c r="C30" s="26">
        <v>4121</v>
      </c>
      <c r="D30" s="698"/>
      <c r="E30" s="715"/>
      <c r="F30" s="269"/>
      <c r="G30" s="270"/>
      <c r="H30" s="709"/>
      <c r="I30" s="313"/>
    </row>
    <row r="31" spans="1:9" ht="30" customHeight="1">
      <c r="A31" s="25"/>
      <c r="B31" s="27"/>
      <c r="C31" s="24" t="s">
        <v>532</v>
      </c>
      <c r="D31" s="701">
        <v>1118945</v>
      </c>
      <c r="E31" s="706">
        <v>0</v>
      </c>
      <c r="F31" s="273">
        <v>0</v>
      </c>
      <c r="G31" s="268">
        <f>D31+E31-F31</f>
        <v>1118945</v>
      </c>
      <c r="H31" s="657">
        <v>1215000</v>
      </c>
      <c r="I31" s="312">
        <f>G31-H31</f>
        <v>-96055</v>
      </c>
    </row>
    <row r="32" spans="1:9" ht="30" customHeight="1">
      <c r="A32" s="25"/>
      <c r="B32" s="27"/>
      <c r="C32" s="27">
        <v>4122</v>
      </c>
      <c r="D32" s="697"/>
      <c r="E32" s="715"/>
      <c r="F32" s="269"/>
      <c r="G32" s="270"/>
      <c r="H32" s="709"/>
      <c r="I32" s="313"/>
    </row>
    <row r="33" spans="1:9" ht="30" customHeight="1">
      <c r="A33" s="25"/>
      <c r="B33" s="27"/>
      <c r="C33" s="24" t="s">
        <v>533</v>
      </c>
      <c r="D33" s="701">
        <f>'(지출-등록금회계)'!D65</f>
        <v>0</v>
      </c>
      <c r="E33" s="706">
        <f>'(지출-비등록금회계)'!D55</f>
        <v>0</v>
      </c>
      <c r="F33" s="273">
        <v>0</v>
      </c>
      <c r="G33" s="268">
        <f>D33+E33-F33</f>
        <v>0</v>
      </c>
      <c r="H33" s="657">
        <v>0</v>
      </c>
      <c r="I33" s="312">
        <f>G33-H33</f>
        <v>0</v>
      </c>
    </row>
    <row r="34" spans="1:9" ht="30" customHeight="1">
      <c r="A34" s="25"/>
      <c r="B34" s="27"/>
      <c r="C34" s="27">
        <v>4123</v>
      </c>
      <c r="D34" s="697"/>
      <c r="E34" s="715"/>
      <c r="F34" s="269"/>
      <c r="G34" s="270"/>
      <c r="H34" s="709"/>
      <c r="I34" s="313"/>
    </row>
    <row r="35" spans="1:9" ht="30" customHeight="1">
      <c r="A35" s="25"/>
      <c r="B35" s="27"/>
      <c r="C35" s="24" t="s">
        <v>534</v>
      </c>
      <c r="D35" s="701">
        <v>1260167</v>
      </c>
      <c r="E35" s="706">
        <v>31734</v>
      </c>
      <c r="F35" s="273">
        <v>0</v>
      </c>
      <c r="G35" s="268">
        <f>D35+E35-F35</f>
        <v>1291901</v>
      </c>
      <c r="H35" s="657">
        <v>979840</v>
      </c>
      <c r="I35" s="312">
        <f>G35-H35</f>
        <v>312061</v>
      </c>
    </row>
    <row r="36" spans="1:9" ht="30" customHeight="1">
      <c r="A36" s="25"/>
      <c r="B36" s="27"/>
      <c r="C36" s="28">
        <v>4124</v>
      </c>
      <c r="D36" s="702"/>
      <c r="E36" s="725"/>
      <c r="F36" s="271"/>
      <c r="G36" s="272"/>
      <c r="H36" s="740"/>
      <c r="I36" s="314"/>
    </row>
    <row r="37" spans="1:9" ht="30" customHeight="1">
      <c r="A37" s="25"/>
      <c r="B37" s="27"/>
      <c r="C37" s="33" t="s">
        <v>535</v>
      </c>
      <c r="D37" s="701">
        <f>'(지출-등록금회계)'!D69</f>
        <v>0</v>
      </c>
      <c r="E37" s="706">
        <v>415067</v>
      </c>
      <c r="F37" s="273">
        <v>0</v>
      </c>
      <c r="G37" s="268">
        <f>D37+E37-F37</f>
        <v>415067</v>
      </c>
      <c r="H37" s="657">
        <v>426936</v>
      </c>
      <c r="I37" s="312">
        <f>G37-H37</f>
        <v>-11869</v>
      </c>
    </row>
    <row r="38" spans="1:9" ht="30" customHeight="1">
      <c r="A38" s="25"/>
      <c r="B38" s="27"/>
      <c r="C38" s="28">
        <v>4125</v>
      </c>
      <c r="D38" s="702"/>
      <c r="E38" s="725"/>
      <c r="F38" s="271"/>
      <c r="G38" s="272"/>
      <c r="H38" s="740"/>
      <c r="I38" s="314"/>
    </row>
    <row r="39" spans="1:9" ht="30" customHeight="1">
      <c r="A39" s="25"/>
      <c r="B39" s="27"/>
      <c r="C39" s="96" t="s">
        <v>537</v>
      </c>
      <c r="D39" s="701">
        <v>29100</v>
      </c>
      <c r="E39" s="706">
        <f>'(지출-비등록금회계)'!D65</f>
        <v>0</v>
      </c>
      <c r="F39" s="273">
        <v>0</v>
      </c>
      <c r="G39" s="268">
        <f>D39+E39-F39</f>
        <v>29100</v>
      </c>
      <c r="H39" s="657">
        <v>24000</v>
      </c>
      <c r="I39" s="312">
        <f>G39-H39</f>
        <v>5100</v>
      </c>
    </row>
    <row r="40" spans="1:9" ht="30" customHeight="1">
      <c r="A40" s="25"/>
      <c r="B40" s="27"/>
      <c r="C40" s="27">
        <v>4126</v>
      </c>
      <c r="D40" s="697"/>
      <c r="E40" s="715"/>
      <c r="F40" s="269"/>
      <c r="G40" s="270"/>
      <c r="H40" s="709"/>
      <c r="I40" s="313"/>
    </row>
    <row r="41" spans="1:9" ht="30" customHeight="1">
      <c r="A41" s="25"/>
      <c r="B41" s="27"/>
      <c r="C41" s="24" t="s">
        <v>538</v>
      </c>
      <c r="D41" s="701">
        <f>'(지출-등록금회계)'!D78</f>
        <v>0</v>
      </c>
      <c r="E41" s="706">
        <f>'(지출-비등록금회계)'!D68</f>
        <v>0</v>
      </c>
      <c r="F41" s="273">
        <v>0</v>
      </c>
      <c r="G41" s="268">
        <f>D41+E41-F41</f>
        <v>0</v>
      </c>
      <c r="H41" s="657">
        <v>0</v>
      </c>
      <c r="I41" s="312">
        <f>G41-H41</f>
        <v>0</v>
      </c>
    </row>
    <row r="42" spans="1:9" ht="30" customHeight="1">
      <c r="A42" s="25"/>
      <c r="B42" s="27"/>
      <c r="C42" s="27">
        <v>4127</v>
      </c>
      <c r="D42" s="697"/>
      <c r="E42" s="715"/>
      <c r="F42" s="269"/>
      <c r="G42" s="270"/>
      <c r="H42" s="709"/>
      <c r="I42" s="313"/>
    </row>
    <row r="43" spans="1:9" ht="30" customHeight="1">
      <c r="A43" s="23"/>
      <c r="B43" s="24"/>
      <c r="C43" s="24" t="s">
        <v>539</v>
      </c>
      <c r="D43" s="701">
        <v>169308</v>
      </c>
      <c r="E43" s="706">
        <f>'(지출-비등록금회계)'!D71</f>
        <v>0</v>
      </c>
      <c r="F43" s="273">
        <v>0</v>
      </c>
      <c r="G43" s="268">
        <f>D43+E43-F43</f>
        <v>169308</v>
      </c>
      <c r="H43" s="657">
        <v>164000</v>
      </c>
      <c r="I43" s="312">
        <f>G43-H43</f>
        <v>5308</v>
      </c>
    </row>
    <row r="44" spans="1:9" ht="30" customHeight="1">
      <c r="A44" s="25">
        <v>4200</v>
      </c>
      <c r="B44" s="27"/>
      <c r="C44" s="27"/>
      <c r="D44" s="697"/>
      <c r="E44" s="715"/>
      <c r="F44" s="269"/>
      <c r="G44" s="277"/>
      <c r="H44" s="888"/>
      <c r="I44" s="317"/>
    </row>
    <row r="45" spans="1:9" ht="30" customHeight="1">
      <c r="A45" s="952" t="s">
        <v>540</v>
      </c>
      <c r="B45" s="1109"/>
      <c r="C45" s="949"/>
      <c r="D45" s="657">
        <f>D47+D65+D85</f>
        <v>5345886</v>
      </c>
      <c r="E45" s="1100">
        <f>E47+E65+E85</f>
        <v>1657731</v>
      </c>
      <c r="F45" s="1101">
        <f>F47+F65+F85</f>
        <v>0</v>
      </c>
      <c r="G45" s="1102">
        <f>D45+E45-F45</f>
        <v>7003617</v>
      </c>
      <c r="H45" s="657">
        <f>H47+H65+H85</f>
        <v>10136454</v>
      </c>
      <c r="I45" s="1103">
        <f>G45-H45</f>
        <v>-3132837</v>
      </c>
    </row>
    <row r="46" spans="1:9" ht="30" customHeight="1">
      <c r="A46" s="94"/>
      <c r="B46" s="32">
        <v>4210</v>
      </c>
      <c r="C46" s="344"/>
      <c r="D46" s="704"/>
      <c r="E46" s="715"/>
      <c r="F46" s="269"/>
      <c r="G46" s="270"/>
      <c r="H46" s="709"/>
      <c r="I46" s="313"/>
    </row>
    <row r="47" spans="1:9" ht="30" customHeight="1">
      <c r="A47" s="25"/>
      <c r="B47" s="27" t="s">
        <v>541</v>
      </c>
      <c r="C47" s="345"/>
      <c r="D47" s="705">
        <f>D49+D51+D53+D55+D57+D59+D61+D63</f>
        <v>2820946</v>
      </c>
      <c r="E47" s="714">
        <f>E49+E51+E53+E55+E57+E59+E61+E63</f>
        <v>531757</v>
      </c>
      <c r="F47" s="347">
        <f>F49+F51+F53+F55+F57+F59+F61+F63</f>
        <v>0</v>
      </c>
      <c r="G47" s="346">
        <f>D47+E47-F47</f>
        <v>3352703</v>
      </c>
      <c r="H47" s="705">
        <f>H49+H51+H53+H55+H57+H59+H61+H63</f>
        <v>4450809</v>
      </c>
      <c r="I47" s="348">
        <f>G47-H47</f>
        <v>-1098106</v>
      </c>
    </row>
    <row r="48" spans="1:9" ht="30.75" customHeight="1">
      <c r="A48" s="25"/>
      <c r="B48" s="27"/>
      <c r="C48" s="27">
        <v>4211</v>
      </c>
      <c r="D48" s="697"/>
      <c r="E48" s="715"/>
      <c r="F48" s="269"/>
      <c r="G48" s="270"/>
      <c r="H48" s="709"/>
      <c r="I48" s="313"/>
    </row>
    <row r="49" spans="1:9" ht="30.75" customHeight="1">
      <c r="A49" s="25"/>
      <c r="B49" s="27"/>
      <c r="C49" s="32" t="s">
        <v>542</v>
      </c>
      <c r="D49" s="699">
        <v>467878</v>
      </c>
      <c r="E49" s="715">
        <v>1397</v>
      </c>
      <c r="F49" s="269">
        <v>0</v>
      </c>
      <c r="G49" s="268">
        <f>D49+E49-F49</f>
        <v>469275</v>
      </c>
      <c r="H49" s="709">
        <v>1176000</v>
      </c>
      <c r="I49" s="313">
        <f>G49-H49</f>
        <v>-706725</v>
      </c>
    </row>
    <row r="50" spans="1:9" ht="30.75" customHeight="1">
      <c r="A50" s="25"/>
      <c r="B50" s="27"/>
      <c r="C50" s="28">
        <v>4212</v>
      </c>
      <c r="D50" s="702"/>
      <c r="E50" s="725"/>
      <c r="F50" s="271"/>
      <c r="G50" s="272"/>
      <c r="H50" s="740"/>
      <c r="I50" s="314"/>
    </row>
    <row r="51" spans="1:9" ht="30.75" customHeight="1">
      <c r="A51" s="25"/>
      <c r="B51" s="27"/>
      <c r="C51" s="33" t="s">
        <v>543</v>
      </c>
      <c r="D51" s="701">
        <v>380645</v>
      </c>
      <c r="E51" s="706">
        <v>34917</v>
      </c>
      <c r="F51" s="273">
        <v>0</v>
      </c>
      <c r="G51" s="268">
        <f>D51+E51-F51</f>
        <v>415562</v>
      </c>
      <c r="H51" s="657">
        <v>500870</v>
      </c>
      <c r="I51" s="312">
        <f>G51-H51</f>
        <v>-85308</v>
      </c>
    </row>
    <row r="52" spans="1:9" ht="30.75" customHeight="1">
      <c r="A52" s="25"/>
      <c r="B52" s="27"/>
      <c r="C52" s="28">
        <v>4213</v>
      </c>
      <c r="D52" s="702"/>
      <c r="E52" s="725"/>
      <c r="F52" s="271"/>
      <c r="G52" s="272"/>
      <c r="H52" s="740"/>
      <c r="I52" s="314"/>
    </row>
    <row r="53" spans="1:9" ht="30.75" customHeight="1">
      <c r="A53" s="25"/>
      <c r="B53" s="27"/>
      <c r="C53" s="24" t="s">
        <v>544</v>
      </c>
      <c r="D53" s="701">
        <v>0</v>
      </c>
      <c r="E53" s="706">
        <v>1591</v>
      </c>
      <c r="F53" s="273">
        <v>0</v>
      </c>
      <c r="G53" s="268">
        <f>D53+E53-F53</f>
        <v>1591</v>
      </c>
      <c r="H53" s="657">
        <v>20000</v>
      </c>
      <c r="I53" s="312">
        <f>G53-H53</f>
        <v>-18409</v>
      </c>
    </row>
    <row r="54" spans="1:9" ht="30.75" customHeight="1">
      <c r="A54" s="25"/>
      <c r="B54" s="27"/>
      <c r="C54" s="28">
        <v>4214</v>
      </c>
      <c r="D54" s="702"/>
      <c r="E54" s="725"/>
      <c r="F54" s="271"/>
      <c r="G54" s="272"/>
      <c r="H54" s="740"/>
      <c r="I54" s="314"/>
    </row>
    <row r="55" spans="1:9" ht="30.75" customHeight="1">
      <c r="A55" s="25"/>
      <c r="B55" s="27"/>
      <c r="C55" s="33" t="s">
        <v>545</v>
      </c>
      <c r="D55" s="701">
        <v>0</v>
      </c>
      <c r="E55" s="706">
        <f>'(지출-비등록금회계)'!D98</f>
        <v>0</v>
      </c>
      <c r="F55" s="273">
        <v>0</v>
      </c>
      <c r="G55" s="268">
        <f>D55+E55-F55</f>
        <v>0</v>
      </c>
      <c r="H55" s="657">
        <v>10000</v>
      </c>
      <c r="I55" s="312">
        <f>G55-H55</f>
        <v>-10000</v>
      </c>
    </row>
    <row r="56" spans="1:9" ht="30.75" customHeight="1">
      <c r="A56" s="25"/>
      <c r="B56" s="27"/>
      <c r="C56" s="27">
        <v>4215</v>
      </c>
      <c r="D56" s="697"/>
      <c r="E56" s="715"/>
      <c r="F56" s="269"/>
      <c r="G56" s="270"/>
      <c r="H56" s="709"/>
      <c r="I56" s="313"/>
    </row>
    <row r="57" spans="1:9" ht="30.75" customHeight="1">
      <c r="A57" s="25"/>
      <c r="B57" s="27"/>
      <c r="C57" s="24" t="s">
        <v>546</v>
      </c>
      <c r="D57" s="706">
        <v>1518497</v>
      </c>
      <c r="E57" s="706">
        <v>410991</v>
      </c>
      <c r="F57" s="273">
        <v>0</v>
      </c>
      <c r="G57" s="268">
        <f>D57+E57-F57</f>
        <v>1929488</v>
      </c>
      <c r="H57" s="657">
        <v>1999800</v>
      </c>
      <c r="I57" s="312">
        <f>G57-H57</f>
        <v>-70312</v>
      </c>
    </row>
    <row r="58" spans="1:9" ht="30.75" customHeight="1">
      <c r="A58" s="25"/>
      <c r="B58" s="27"/>
      <c r="C58" s="28">
        <v>4216</v>
      </c>
      <c r="D58" s="702"/>
      <c r="E58" s="725"/>
      <c r="F58" s="271"/>
      <c r="G58" s="272"/>
      <c r="H58" s="740"/>
      <c r="I58" s="314"/>
    </row>
    <row r="59" spans="1:9" ht="30.75" customHeight="1">
      <c r="A59" s="25"/>
      <c r="B59" s="27"/>
      <c r="C59" s="24" t="s">
        <v>547</v>
      </c>
      <c r="D59" s="701">
        <v>68204</v>
      </c>
      <c r="E59" s="706">
        <v>4107</v>
      </c>
      <c r="F59" s="273">
        <v>0</v>
      </c>
      <c r="G59" s="268">
        <f>D59+E59-F59</f>
        <v>72311</v>
      </c>
      <c r="H59" s="657">
        <v>106500</v>
      </c>
      <c r="I59" s="312">
        <f>G59-H59</f>
        <v>-34189</v>
      </c>
    </row>
    <row r="60" spans="1:9" ht="27.75" customHeight="1">
      <c r="A60" s="25"/>
      <c r="B60" s="27"/>
      <c r="C60" s="27">
        <v>4217</v>
      </c>
      <c r="D60" s="697"/>
      <c r="E60" s="715"/>
      <c r="F60" s="269"/>
      <c r="G60" s="270"/>
      <c r="H60" s="709"/>
      <c r="I60" s="313"/>
    </row>
    <row r="61" spans="1:9" ht="30.75" customHeight="1">
      <c r="A61" s="25"/>
      <c r="B61" s="27"/>
      <c r="C61" s="345" t="s">
        <v>548</v>
      </c>
      <c r="D61" s="707">
        <v>13285</v>
      </c>
      <c r="E61" s="714">
        <v>21275</v>
      </c>
      <c r="F61" s="349">
        <v>0</v>
      </c>
      <c r="G61" s="346">
        <f>D61+E61-F61</f>
        <v>34560</v>
      </c>
      <c r="H61" s="705">
        <v>41139</v>
      </c>
      <c r="I61" s="348">
        <f>G61-H61</f>
        <v>-6579</v>
      </c>
    </row>
    <row r="62" spans="1:9" ht="30" customHeight="1">
      <c r="A62" s="25"/>
      <c r="B62" s="27"/>
      <c r="C62" s="27">
        <v>4219</v>
      </c>
      <c r="D62" s="697"/>
      <c r="E62" s="715"/>
      <c r="F62" s="269"/>
      <c r="G62" s="270"/>
      <c r="H62" s="709"/>
      <c r="I62" s="313"/>
    </row>
    <row r="63" spans="1:9" ht="30" customHeight="1">
      <c r="A63" s="25"/>
      <c r="B63" s="24"/>
      <c r="C63" s="33" t="s">
        <v>549</v>
      </c>
      <c r="D63" s="701">
        <v>372437</v>
      </c>
      <c r="E63" s="706">
        <v>57479</v>
      </c>
      <c r="F63" s="273">
        <v>0</v>
      </c>
      <c r="G63" s="268">
        <f>D63+E63-F63</f>
        <v>429916</v>
      </c>
      <c r="H63" s="657">
        <v>596500</v>
      </c>
      <c r="I63" s="312">
        <f>G63-H63</f>
        <v>-166584</v>
      </c>
    </row>
    <row r="64" spans="1:9" ht="30" customHeight="1">
      <c r="A64" s="25"/>
      <c r="B64" s="32">
        <v>4220</v>
      </c>
      <c r="C64" s="27"/>
      <c r="D64" s="697"/>
      <c r="E64" s="715"/>
      <c r="F64" s="269"/>
      <c r="G64" s="270"/>
      <c r="H64" s="709"/>
      <c r="I64" s="313"/>
    </row>
    <row r="65" spans="1:9" ht="30" customHeight="1">
      <c r="A65" s="25"/>
      <c r="B65" s="32" t="s">
        <v>550</v>
      </c>
      <c r="C65" s="24"/>
      <c r="D65" s="657">
        <f>D67+D69+D71+D73+D75+D77+D79+D81+D83</f>
        <v>1434365</v>
      </c>
      <c r="E65" s="706">
        <f>E67+E69+E71+E73+E75+E77+E79+E81+E83</f>
        <v>486180</v>
      </c>
      <c r="F65" s="267">
        <f>F67+F69+F71+F73+F75+F77+F79+F81+F83</f>
        <v>0</v>
      </c>
      <c r="G65" s="268">
        <f>D65+E65-F65</f>
        <v>1920545</v>
      </c>
      <c r="H65" s="657">
        <f>H67+H69+H71+H73+H75+H77+H79+H81+H83</f>
        <v>2236745</v>
      </c>
      <c r="I65" s="312">
        <f>G65-H65</f>
        <v>-316200</v>
      </c>
    </row>
    <row r="66" spans="1:9" ht="30" customHeight="1">
      <c r="A66" s="25"/>
      <c r="B66" s="32"/>
      <c r="C66" s="27">
        <v>4221</v>
      </c>
      <c r="D66" s="697"/>
      <c r="E66" s="715"/>
      <c r="F66" s="269"/>
      <c r="G66" s="270"/>
      <c r="H66" s="709"/>
      <c r="I66" s="313"/>
    </row>
    <row r="67" spans="1:9" ht="30" customHeight="1">
      <c r="A67" s="25"/>
      <c r="B67" s="27"/>
      <c r="C67" s="33" t="s">
        <v>551</v>
      </c>
      <c r="D67" s="708">
        <v>22230</v>
      </c>
      <c r="E67" s="726">
        <v>0</v>
      </c>
      <c r="F67" s="279">
        <v>0</v>
      </c>
      <c r="G67" s="268">
        <f>D67+E67-F67</f>
        <v>22230</v>
      </c>
      <c r="H67" s="657">
        <v>70000</v>
      </c>
      <c r="I67" s="312">
        <f>G67-H67</f>
        <v>-47770</v>
      </c>
    </row>
    <row r="68" spans="1:9" ht="30" customHeight="1">
      <c r="A68" s="25"/>
      <c r="B68" s="27"/>
      <c r="C68" s="27">
        <v>4222</v>
      </c>
      <c r="D68" s="697"/>
      <c r="E68" s="715"/>
      <c r="F68" s="269"/>
      <c r="G68" s="270"/>
      <c r="H68" s="709"/>
      <c r="I68" s="313"/>
    </row>
    <row r="69" spans="1:9" ht="30" customHeight="1">
      <c r="A69" s="25"/>
      <c r="B69" s="27"/>
      <c r="C69" s="27" t="s">
        <v>552</v>
      </c>
      <c r="D69" s="699">
        <v>1827</v>
      </c>
      <c r="E69" s="715">
        <v>874</v>
      </c>
      <c r="F69" s="269">
        <v>0</v>
      </c>
      <c r="G69" s="268">
        <f>D69+E69-F69</f>
        <v>2701</v>
      </c>
      <c r="H69" s="709">
        <v>9000</v>
      </c>
      <c r="I69" s="313">
        <f>G69-H69</f>
        <v>-6299</v>
      </c>
    </row>
    <row r="70" spans="1:9" ht="30" customHeight="1">
      <c r="A70" s="25"/>
      <c r="B70" s="27"/>
      <c r="C70" s="28">
        <v>4223</v>
      </c>
      <c r="D70" s="702"/>
      <c r="E70" s="725"/>
      <c r="F70" s="271"/>
      <c r="G70" s="272"/>
      <c r="H70" s="740"/>
      <c r="I70" s="314"/>
    </row>
    <row r="71" spans="1:9" ht="30" customHeight="1">
      <c r="A71" s="25"/>
      <c r="B71" s="27"/>
      <c r="C71" s="27" t="s">
        <v>553</v>
      </c>
      <c r="D71" s="699">
        <v>140305</v>
      </c>
      <c r="E71" s="715">
        <v>2978</v>
      </c>
      <c r="F71" s="269">
        <v>0</v>
      </c>
      <c r="G71" s="268">
        <f>D71+E71-F71</f>
        <v>143283</v>
      </c>
      <c r="H71" s="709">
        <v>185000</v>
      </c>
      <c r="I71" s="313">
        <f>G71-H71</f>
        <v>-41717</v>
      </c>
    </row>
    <row r="72" spans="1:9" ht="30" customHeight="1">
      <c r="A72" s="25"/>
      <c r="B72" s="27"/>
      <c r="C72" s="28">
        <v>4224</v>
      </c>
      <c r="D72" s="702"/>
      <c r="E72" s="725"/>
      <c r="F72" s="271"/>
      <c r="G72" s="272"/>
      <c r="H72" s="740"/>
      <c r="I72" s="314"/>
    </row>
    <row r="73" spans="1:9" ht="30" customHeight="1">
      <c r="A73" s="25"/>
      <c r="B73" s="27"/>
      <c r="C73" s="24" t="s">
        <v>554</v>
      </c>
      <c r="D73" s="701">
        <v>43617</v>
      </c>
      <c r="E73" s="706">
        <v>5365</v>
      </c>
      <c r="F73" s="273">
        <v>0</v>
      </c>
      <c r="G73" s="268">
        <f>D73+E73-F73</f>
        <v>48982</v>
      </c>
      <c r="H73" s="657">
        <v>62100</v>
      </c>
      <c r="I73" s="312">
        <f>G73-H73</f>
        <v>-13118</v>
      </c>
    </row>
    <row r="74" spans="1:9" ht="30" customHeight="1">
      <c r="A74" s="25"/>
      <c r="B74" s="27"/>
      <c r="C74" s="27">
        <v>4225</v>
      </c>
      <c r="D74" s="697"/>
      <c r="E74" s="715"/>
      <c r="F74" s="269"/>
      <c r="G74" s="270"/>
      <c r="H74" s="709"/>
      <c r="I74" s="313"/>
    </row>
    <row r="75" spans="1:9" ht="30" customHeight="1">
      <c r="A75" s="25"/>
      <c r="B75" s="27"/>
      <c r="C75" s="345" t="s">
        <v>555</v>
      </c>
      <c r="D75" s="707">
        <v>114442</v>
      </c>
      <c r="E75" s="714">
        <v>113879</v>
      </c>
      <c r="F75" s="349">
        <v>0</v>
      </c>
      <c r="G75" s="346">
        <f>D75+E75-F75</f>
        <v>228321</v>
      </c>
      <c r="H75" s="705">
        <v>308500</v>
      </c>
      <c r="I75" s="348">
        <f>G75-H75</f>
        <v>-80179</v>
      </c>
    </row>
    <row r="76" spans="1:9" ht="30" customHeight="1">
      <c r="A76" s="25"/>
      <c r="B76" s="27"/>
      <c r="C76" s="27">
        <v>4226</v>
      </c>
      <c r="D76" s="697"/>
      <c r="E76" s="715"/>
      <c r="F76" s="269"/>
      <c r="G76" s="270"/>
      <c r="H76" s="709"/>
      <c r="I76" s="313"/>
    </row>
    <row r="77" spans="1:9" ht="30" customHeight="1">
      <c r="A77" s="25"/>
      <c r="B77" s="27"/>
      <c r="C77" s="24" t="s">
        <v>556</v>
      </c>
      <c r="D77" s="701">
        <v>818838</v>
      </c>
      <c r="E77" s="706">
        <v>242936</v>
      </c>
      <c r="F77" s="273">
        <v>0</v>
      </c>
      <c r="G77" s="268">
        <f>D77+E77-F77</f>
        <v>1061774</v>
      </c>
      <c r="H77" s="657">
        <v>1111800</v>
      </c>
      <c r="I77" s="312">
        <f>G77-H77</f>
        <v>-50026</v>
      </c>
    </row>
    <row r="78" spans="1:9" ht="30" customHeight="1">
      <c r="A78" s="25"/>
      <c r="B78" s="27"/>
      <c r="C78" s="28">
        <v>4227</v>
      </c>
      <c r="D78" s="702"/>
      <c r="E78" s="725"/>
      <c r="F78" s="271"/>
      <c r="G78" s="272"/>
      <c r="H78" s="740"/>
      <c r="I78" s="314"/>
    </row>
    <row r="79" spans="1:9" ht="30" customHeight="1">
      <c r="A79" s="25"/>
      <c r="B79" s="27"/>
      <c r="C79" s="24" t="s">
        <v>557</v>
      </c>
      <c r="D79" s="701">
        <v>49834</v>
      </c>
      <c r="E79" s="706">
        <v>25831</v>
      </c>
      <c r="F79" s="273">
        <v>0</v>
      </c>
      <c r="G79" s="268">
        <f>D79+E79-F79</f>
        <v>75665</v>
      </c>
      <c r="H79" s="657">
        <v>100795</v>
      </c>
      <c r="I79" s="312">
        <f>G79-H79</f>
        <v>-25130</v>
      </c>
    </row>
    <row r="80" spans="1:9" ht="30" customHeight="1">
      <c r="A80" s="25"/>
      <c r="B80" s="27"/>
      <c r="C80" s="27">
        <v>4228</v>
      </c>
      <c r="D80" s="697"/>
      <c r="E80" s="715"/>
      <c r="F80" s="269"/>
      <c r="G80" s="270"/>
      <c r="H80" s="709"/>
      <c r="I80" s="313"/>
    </row>
    <row r="81" spans="1:9" ht="30" customHeight="1">
      <c r="A81" s="25"/>
      <c r="B81" s="27"/>
      <c r="C81" s="24" t="s">
        <v>558</v>
      </c>
      <c r="D81" s="701">
        <v>200908</v>
      </c>
      <c r="E81" s="706">
        <v>16363</v>
      </c>
      <c r="F81" s="273">
        <v>0</v>
      </c>
      <c r="G81" s="268">
        <f>D81+E81-F81</f>
        <v>217271</v>
      </c>
      <c r="H81" s="657">
        <v>297550</v>
      </c>
      <c r="I81" s="312">
        <f>G81-H81</f>
        <v>-80279</v>
      </c>
    </row>
    <row r="82" spans="1:9" ht="26.25" customHeight="1">
      <c r="A82" s="25"/>
      <c r="B82" s="27"/>
      <c r="C82" s="27">
        <v>4229</v>
      </c>
      <c r="D82" s="697"/>
      <c r="E82" s="715"/>
      <c r="F82" s="269"/>
      <c r="G82" s="270"/>
      <c r="H82" s="709"/>
      <c r="I82" s="313"/>
    </row>
    <row r="83" spans="1:9" ht="30" customHeight="1">
      <c r="A83" s="25"/>
      <c r="B83" s="24"/>
      <c r="C83" s="24" t="s">
        <v>559</v>
      </c>
      <c r="D83" s="701">
        <v>42364</v>
      </c>
      <c r="E83" s="706">
        <v>77954</v>
      </c>
      <c r="F83" s="273">
        <v>0</v>
      </c>
      <c r="G83" s="268">
        <f>D83+E83-F83</f>
        <v>120318</v>
      </c>
      <c r="H83" s="657">
        <v>92000</v>
      </c>
      <c r="I83" s="312">
        <f>G83-H83</f>
        <v>28318</v>
      </c>
    </row>
    <row r="84" spans="1:9" ht="30" customHeight="1">
      <c r="A84" s="25"/>
      <c r="B84" s="27">
        <v>4230</v>
      </c>
      <c r="C84" s="27"/>
      <c r="D84" s="697"/>
      <c r="E84" s="715"/>
      <c r="F84" s="269"/>
      <c r="G84" s="270"/>
      <c r="H84" s="709"/>
      <c r="I84" s="313"/>
    </row>
    <row r="85" spans="1:9" ht="30" customHeight="1">
      <c r="A85" s="25"/>
      <c r="B85" s="27" t="s">
        <v>560</v>
      </c>
      <c r="C85" s="27"/>
      <c r="D85" s="709">
        <f>D87+D89+D91+D93+D95+D97+D99+D101+D103</f>
        <v>1090575</v>
      </c>
      <c r="E85" s="715">
        <f>E87+E89+E91+E93+E95+E97+E99+E101+E103</f>
        <v>639794</v>
      </c>
      <c r="F85" s="278">
        <f>F87+F89+F91+F93+F95+F97+F99+F101+F103</f>
        <v>0</v>
      </c>
      <c r="G85" s="268">
        <f>D85+E85-F85</f>
        <v>1730369</v>
      </c>
      <c r="H85" s="709">
        <f>H87+H89+H91+H93+H95+H97+H99+H101+H103</f>
        <v>3448900</v>
      </c>
      <c r="I85" s="312">
        <f>G85-H85</f>
        <v>-1718531</v>
      </c>
    </row>
    <row r="86" spans="1:9" ht="30" customHeight="1">
      <c r="A86" s="25"/>
      <c r="B86" s="27"/>
      <c r="C86" s="28">
        <v>4231</v>
      </c>
      <c r="D86" s="702"/>
      <c r="E86" s="725"/>
      <c r="F86" s="271"/>
      <c r="G86" s="272"/>
      <c r="H86" s="740"/>
      <c r="I86" s="314"/>
    </row>
    <row r="87" spans="1:9" ht="30" customHeight="1">
      <c r="A87" s="25"/>
      <c r="B87" s="27"/>
      <c r="C87" s="24" t="s">
        <v>561</v>
      </c>
      <c r="D87" s="701">
        <v>50899</v>
      </c>
      <c r="E87" s="706">
        <v>3190</v>
      </c>
      <c r="F87" s="273">
        <v>0</v>
      </c>
      <c r="G87" s="268">
        <f>D87+E87-F87</f>
        <v>54089</v>
      </c>
      <c r="H87" s="657">
        <v>116200</v>
      </c>
      <c r="I87" s="312">
        <f>G87-H87</f>
        <v>-62111</v>
      </c>
    </row>
    <row r="88" spans="1:9" ht="30" customHeight="1">
      <c r="A88" s="25"/>
      <c r="B88" s="27"/>
      <c r="C88" s="27">
        <v>4232</v>
      </c>
      <c r="D88" s="710" t="s">
        <v>498</v>
      </c>
      <c r="E88" s="715"/>
      <c r="F88" s="269"/>
      <c r="G88" s="270"/>
      <c r="H88" s="709"/>
      <c r="I88" s="313"/>
    </row>
    <row r="89" spans="1:9" ht="30" customHeight="1">
      <c r="A89" s="25"/>
      <c r="B89" s="27"/>
      <c r="C89" s="345" t="s">
        <v>562</v>
      </c>
      <c r="D89" s="707">
        <v>47129</v>
      </c>
      <c r="E89" s="714">
        <v>184</v>
      </c>
      <c r="F89" s="349">
        <v>0</v>
      </c>
      <c r="G89" s="346">
        <f>D89+E89-F89</f>
        <v>47313</v>
      </c>
      <c r="H89" s="705">
        <v>978200</v>
      </c>
      <c r="I89" s="348">
        <f>G89-H89</f>
        <v>-930887</v>
      </c>
    </row>
    <row r="90" spans="1:9" ht="30" customHeight="1">
      <c r="A90" s="25"/>
      <c r="B90" s="27"/>
      <c r="C90" s="27">
        <v>4233</v>
      </c>
      <c r="D90" s="697"/>
      <c r="E90" s="715"/>
      <c r="F90" s="269"/>
      <c r="G90" s="270"/>
      <c r="H90" s="709"/>
      <c r="I90" s="313"/>
    </row>
    <row r="91" spans="1:9" ht="30" customHeight="1">
      <c r="A91" s="25"/>
      <c r="B91" s="27"/>
      <c r="C91" s="27" t="s">
        <v>563</v>
      </c>
      <c r="D91" s="885">
        <v>98326</v>
      </c>
      <c r="E91" s="715">
        <v>0</v>
      </c>
      <c r="F91" s="269">
        <v>0</v>
      </c>
      <c r="G91" s="268">
        <f>D91+E91-F91</f>
        <v>98326</v>
      </c>
      <c r="H91" s="709">
        <v>332000</v>
      </c>
      <c r="I91" s="312">
        <f>G91-H91</f>
        <v>-233674</v>
      </c>
    </row>
    <row r="92" spans="1:9" ht="30" customHeight="1">
      <c r="A92" s="25"/>
      <c r="B92" s="27"/>
      <c r="C92" s="28">
        <v>4234</v>
      </c>
      <c r="D92" s="702"/>
      <c r="E92" s="725"/>
      <c r="F92" s="271"/>
      <c r="G92" s="272"/>
      <c r="H92" s="740"/>
      <c r="I92" s="314"/>
    </row>
    <row r="93" spans="1:9" ht="30" customHeight="1">
      <c r="A93" s="25"/>
      <c r="B93" s="27"/>
      <c r="C93" s="24" t="s">
        <v>564</v>
      </c>
      <c r="D93" s="701">
        <v>242646</v>
      </c>
      <c r="E93" s="706">
        <f>'(지출-비등록금회계)'!D254</f>
        <v>0</v>
      </c>
      <c r="F93" s="273">
        <v>0</v>
      </c>
      <c r="G93" s="268">
        <f>D93+E93-F93</f>
        <v>242646</v>
      </c>
      <c r="H93" s="657">
        <v>499000</v>
      </c>
      <c r="I93" s="312">
        <f>G93-H93</f>
        <v>-256354</v>
      </c>
    </row>
    <row r="94" spans="1:9" ht="30" customHeight="1">
      <c r="A94" s="25"/>
      <c r="B94" s="27"/>
      <c r="C94" s="27">
        <v>4235</v>
      </c>
      <c r="D94" s="697"/>
      <c r="E94" s="715"/>
      <c r="F94" s="269"/>
      <c r="G94" s="270"/>
      <c r="H94" s="709"/>
      <c r="I94" s="313"/>
    </row>
    <row r="95" spans="1:9" ht="30" customHeight="1">
      <c r="A95" s="25"/>
      <c r="B95" s="27"/>
      <c r="C95" s="24" t="s">
        <v>565</v>
      </c>
      <c r="D95" s="701">
        <v>455849</v>
      </c>
      <c r="E95" s="706">
        <v>30651</v>
      </c>
      <c r="F95" s="273">
        <v>0</v>
      </c>
      <c r="G95" s="268">
        <f>D95+E95-F95</f>
        <v>486500</v>
      </c>
      <c r="H95" s="657">
        <v>486500</v>
      </c>
      <c r="I95" s="312">
        <f>G95-H95</f>
        <v>0</v>
      </c>
    </row>
    <row r="96" spans="1:9" ht="30" customHeight="1">
      <c r="A96" s="25"/>
      <c r="B96" s="27"/>
      <c r="C96" s="27">
        <v>4236</v>
      </c>
      <c r="D96" s="697"/>
      <c r="E96" s="715"/>
      <c r="F96" s="269"/>
      <c r="G96" s="270"/>
      <c r="H96" s="709"/>
      <c r="I96" s="313"/>
    </row>
    <row r="97" spans="1:9" ht="27" customHeight="1">
      <c r="A97" s="25"/>
      <c r="B97" s="27"/>
      <c r="C97" s="24" t="s">
        <v>566</v>
      </c>
      <c r="D97" s="701">
        <v>1328</v>
      </c>
      <c r="E97" s="706">
        <v>600</v>
      </c>
      <c r="F97" s="273">
        <v>0</v>
      </c>
      <c r="G97" s="268">
        <f>D97+E97-F97</f>
        <v>1928</v>
      </c>
      <c r="H97" s="657">
        <v>6000</v>
      </c>
      <c r="I97" s="312">
        <f>G97-H97</f>
        <v>-4072</v>
      </c>
    </row>
    <row r="98" spans="1:9" ht="27" customHeight="1">
      <c r="A98" s="25"/>
      <c r="B98" s="27"/>
      <c r="C98" s="28">
        <v>4237</v>
      </c>
      <c r="D98" s="702"/>
      <c r="E98" s="725"/>
      <c r="F98" s="271"/>
      <c r="G98" s="272"/>
      <c r="H98" s="740"/>
      <c r="I98" s="314"/>
    </row>
    <row r="99" spans="1:9" ht="30" customHeight="1">
      <c r="A99" s="25"/>
      <c r="B99" s="27"/>
      <c r="C99" s="24" t="s">
        <v>567</v>
      </c>
      <c r="D99" s="701">
        <v>65274</v>
      </c>
      <c r="E99" s="706">
        <v>28377</v>
      </c>
      <c r="F99" s="273">
        <v>0</v>
      </c>
      <c r="G99" s="268">
        <f>D99+E99-F99</f>
        <v>93651</v>
      </c>
      <c r="H99" s="657">
        <v>288000</v>
      </c>
      <c r="I99" s="312">
        <f>G99-H99</f>
        <v>-194349</v>
      </c>
    </row>
    <row r="100" spans="1:9" ht="30" customHeight="1">
      <c r="A100" s="25"/>
      <c r="B100" s="27"/>
      <c r="C100" s="28">
        <v>4238</v>
      </c>
      <c r="D100" s="702"/>
      <c r="E100" s="725"/>
      <c r="F100" s="271"/>
      <c r="G100" s="272"/>
      <c r="H100" s="740"/>
      <c r="I100" s="314"/>
    </row>
    <row r="101" spans="1:9" ht="30" customHeight="1">
      <c r="A101" s="25"/>
      <c r="B101" s="27"/>
      <c r="C101" s="24" t="s">
        <v>568</v>
      </c>
      <c r="D101" s="701">
        <f>'(지출-등록금회계)'!D363</f>
        <v>0</v>
      </c>
      <c r="E101" s="706">
        <f>'(지출-비등록금회계)'!D267</f>
        <v>0</v>
      </c>
      <c r="F101" s="273">
        <v>0</v>
      </c>
      <c r="G101" s="268">
        <f>D101+E101-F101</f>
        <v>0</v>
      </c>
      <c r="H101" s="657">
        <v>0</v>
      </c>
      <c r="I101" s="312">
        <f>G101-H101</f>
        <v>0</v>
      </c>
    </row>
    <row r="102" spans="1:9" ht="30" customHeight="1">
      <c r="A102" s="25"/>
      <c r="B102" s="27"/>
      <c r="C102" s="27">
        <v>4239</v>
      </c>
      <c r="D102" s="697"/>
      <c r="E102" s="715"/>
      <c r="F102" s="269" t="s">
        <v>511</v>
      </c>
      <c r="G102" s="270"/>
      <c r="H102" s="709"/>
      <c r="I102" s="313"/>
    </row>
    <row r="103" spans="1:9" ht="30" customHeight="1">
      <c r="A103" s="350"/>
      <c r="B103" s="345"/>
      <c r="C103" s="345" t="s">
        <v>569</v>
      </c>
      <c r="D103" s="707">
        <v>129124</v>
      </c>
      <c r="E103" s="714">
        <v>576792</v>
      </c>
      <c r="F103" s="349">
        <v>0</v>
      </c>
      <c r="G103" s="346">
        <f>D103+E103-F103</f>
        <v>705916</v>
      </c>
      <c r="H103" s="705">
        <v>743000</v>
      </c>
      <c r="I103" s="348">
        <f>G103-H103</f>
        <v>-37084</v>
      </c>
    </row>
    <row r="104" spans="1:9" ht="30" customHeight="1">
      <c r="A104" s="25">
        <v>4300</v>
      </c>
      <c r="B104" s="27"/>
      <c r="C104" s="27"/>
      <c r="D104" s="697"/>
      <c r="E104" s="715"/>
      <c r="F104" s="269"/>
      <c r="G104" s="270"/>
      <c r="H104" s="709"/>
      <c r="I104" s="313"/>
    </row>
    <row r="105" spans="1:9" ht="30" customHeight="1">
      <c r="A105" s="42" t="s">
        <v>570</v>
      </c>
      <c r="B105" s="24"/>
      <c r="C105" s="24"/>
      <c r="D105" s="657">
        <f>D107+D113+D127</f>
        <v>10713464</v>
      </c>
      <c r="E105" s="706">
        <f>E107+E113+E127</f>
        <v>12759514</v>
      </c>
      <c r="F105" s="267">
        <f>F107+F113+F127</f>
        <v>0</v>
      </c>
      <c r="G105" s="268">
        <f>D105+E105-F105</f>
        <v>23472978</v>
      </c>
      <c r="H105" s="657">
        <f>H107+H113+H127</f>
        <v>23352150</v>
      </c>
      <c r="I105" s="312">
        <f>G105-H105</f>
        <v>120828</v>
      </c>
    </row>
    <row r="106" spans="1:9" ht="30" customHeight="1">
      <c r="A106" s="25"/>
      <c r="B106" s="27">
        <v>4310</v>
      </c>
      <c r="C106" s="27"/>
      <c r="D106" s="697"/>
      <c r="E106" s="715"/>
      <c r="F106" s="269"/>
      <c r="G106" s="270"/>
      <c r="H106" s="709"/>
      <c r="I106" s="313"/>
    </row>
    <row r="107" spans="1:9" ht="30" customHeight="1">
      <c r="A107" s="25"/>
      <c r="B107" s="27" t="s">
        <v>571</v>
      </c>
      <c r="C107" s="24"/>
      <c r="D107" s="657">
        <f>D109+D111</f>
        <v>664443</v>
      </c>
      <c r="E107" s="706">
        <f>E109+E111</f>
        <v>18000</v>
      </c>
      <c r="F107" s="267">
        <f>F109+F111</f>
        <v>0</v>
      </c>
      <c r="G107" s="268">
        <f>D107+E107-F107</f>
        <v>682443</v>
      </c>
      <c r="H107" s="657">
        <f>H109+H111</f>
        <v>817000</v>
      </c>
      <c r="I107" s="312">
        <f>G107-H107</f>
        <v>-134557</v>
      </c>
    </row>
    <row r="108" spans="1:9" ht="30" customHeight="1">
      <c r="A108" s="25"/>
      <c r="B108" s="27"/>
      <c r="C108" s="27">
        <v>4311</v>
      </c>
      <c r="D108" s="697"/>
      <c r="E108" s="715"/>
      <c r="F108" s="269"/>
      <c r="G108" s="270"/>
      <c r="H108" s="709"/>
      <c r="I108" s="313"/>
    </row>
    <row r="109" spans="1:9" ht="30" customHeight="1">
      <c r="A109" s="25"/>
      <c r="B109" s="71"/>
      <c r="C109" s="71" t="s">
        <v>571</v>
      </c>
      <c r="D109" s="712">
        <v>652799</v>
      </c>
      <c r="E109" s="712">
        <v>18000</v>
      </c>
      <c r="F109" s="280">
        <v>0</v>
      </c>
      <c r="G109" s="268">
        <f>D109+E109-F109</f>
        <v>670799</v>
      </c>
      <c r="H109" s="889">
        <v>772000</v>
      </c>
      <c r="I109" s="313">
        <f>G109-H109</f>
        <v>-101201</v>
      </c>
    </row>
    <row r="110" spans="1:9" ht="30" customHeight="1">
      <c r="A110" s="25"/>
      <c r="B110" s="27"/>
      <c r="C110" s="28">
        <v>4312</v>
      </c>
      <c r="D110" s="702"/>
      <c r="E110" s="725"/>
      <c r="F110" s="271"/>
      <c r="G110" s="272"/>
      <c r="H110" s="740"/>
      <c r="I110" s="314"/>
    </row>
    <row r="111" spans="1:9" ht="30" customHeight="1">
      <c r="A111" s="25"/>
      <c r="B111" s="27"/>
      <c r="C111" s="27" t="s">
        <v>572</v>
      </c>
      <c r="D111" s="711">
        <v>11644</v>
      </c>
      <c r="E111" s="715">
        <v>0</v>
      </c>
      <c r="F111" s="269">
        <v>0</v>
      </c>
      <c r="G111" s="268">
        <f>D111+E111-F111</f>
        <v>11644</v>
      </c>
      <c r="H111" s="709">
        <v>45000</v>
      </c>
      <c r="I111" s="313">
        <f>G111-H111</f>
        <v>-33356</v>
      </c>
    </row>
    <row r="112" spans="1:9" ht="30" customHeight="1">
      <c r="A112" s="25"/>
      <c r="B112" s="28">
        <v>4320</v>
      </c>
      <c r="C112" s="28"/>
      <c r="D112" s="702"/>
      <c r="E112" s="725"/>
      <c r="F112" s="271"/>
      <c r="G112" s="272"/>
      <c r="H112" s="740"/>
      <c r="I112" s="314"/>
    </row>
    <row r="113" spans="1:9" ht="30" customHeight="1">
      <c r="A113" s="25"/>
      <c r="B113" s="27" t="s">
        <v>573</v>
      </c>
      <c r="C113" s="24"/>
      <c r="D113" s="657">
        <f>D117+D115+D119+D121+D123+D125</f>
        <v>10049021</v>
      </c>
      <c r="E113" s="706">
        <f>E117+E115+E119+E121+E123+E125</f>
        <v>11926039</v>
      </c>
      <c r="F113" s="267">
        <f>F117+F115+F119+F121+F123+F125</f>
        <v>0</v>
      </c>
      <c r="G113" s="268">
        <f>D113+E113-F113</f>
        <v>21975060</v>
      </c>
      <c r="H113" s="657">
        <f>H117+H115+H119+H121+H123+H125</f>
        <v>21555150</v>
      </c>
      <c r="I113" s="312">
        <f>G113-H113</f>
        <v>419910</v>
      </c>
    </row>
    <row r="114" spans="1:9" ht="30" customHeight="1">
      <c r="A114" s="25"/>
      <c r="B114" s="27"/>
      <c r="C114" s="27">
        <v>4321</v>
      </c>
      <c r="D114" s="697"/>
      <c r="E114" s="715"/>
      <c r="F114" s="269"/>
      <c r="G114" s="270"/>
      <c r="H114" s="709"/>
      <c r="I114" s="313"/>
    </row>
    <row r="115" spans="1:9" ht="30" customHeight="1">
      <c r="A115" s="25"/>
      <c r="B115" s="27"/>
      <c r="C115" s="24" t="s">
        <v>574</v>
      </c>
      <c r="D115" s="701">
        <f>'(지출-등록금회계)'!D406</f>
        <v>0</v>
      </c>
      <c r="E115" s="706">
        <v>11895110</v>
      </c>
      <c r="F115" s="273">
        <v>0</v>
      </c>
      <c r="G115" s="268">
        <f>D115+E115-F115</f>
        <v>11895110</v>
      </c>
      <c r="H115" s="657">
        <v>10830000</v>
      </c>
      <c r="I115" s="312">
        <f>G115-H115</f>
        <v>1065110</v>
      </c>
    </row>
    <row r="116" spans="1:9" ht="30" customHeight="1">
      <c r="A116" s="25"/>
      <c r="B116" s="27"/>
      <c r="C116" s="27">
        <v>4322</v>
      </c>
      <c r="D116" s="697"/>
      <c r="E116" s="715"/>
      <c r="F116" s="269"/>
      <c r="G116" s="270"/>
      <c r="H116" s="709"/>
      <c r="I116" s="313"/>
    </row>
    <row r="117" spans="1:9" ht="30" customHeight="1">
      <c r="A117" s="34"/>
      <c r="B117" s="27"/>
      <c r="C117" s="345" t="s">
        <v>575</v>
      </c>
      <c r="D117" s="707">
        <v>9309307</v>
      </c>
      <c r="E117" s="714">
        <v>13202</v>
      </c>
      <c r="F117" s="349">
        <v>0</v>
      </c>
      <c r="G117" s="346">
        <f>D117+E117-F117</f>
        <v>9322509</v>
      </c>
      <c r="H117" s="705">
        <v>9500000</v>
      </c>
      <c r="I117" s="348">
        <f>G117-H117</f>
        <v>-177491</v>
      </c>
    </row>
    <row r="118" spans="1:9" ht="30" customHeight="1">
      <c r="A118" s="34"/>
      <c r="B118" s="27"/>
      <c r="C118" s="27">
        <v>4323</v>
      </c>
      <c r="D118" s="697"/>
      <c r="E118" s="715"/>
      <c r="F118" s="269"/>
      <c r="G118" s="270"/>
      <c r="H118" s="709"/>
      <c r="I118" s="313"/>
    </row>
    <row r="119" spans="1:9" ht="30" customHeight="1">
      <c r="A119" s="34"/>
      <c r="B119" s="27"/>
      <c r="C119" s="27" t="s">
        <v>576</v>
      </c>
      <c r="D119" s="699">
        <v>424255</v>
      </c>
      <c r="E119" s="715">
        <v>8599</v>
      </c>
      <c r="F119" s="269">
        <v>0</v>
      </c>
      <c r="G119" s="268">
        <f>D119+E119-F119</f>
        <v>432854</v>
      </c>
      <c r="H119" s="709">
        <v>521000</v>
      </c>
      <c r="I119" s="313">
        <f>G119-H119</f>
        <v>-88146</v>
      </c>
    </row>
    <row r="120" spans="1:9" ht="30" customHeight="1">
      <c r="A120" s="25"/>
      <c r="B120" s="27"/>
      <c r="C120" s="28">
        <v>4324</v>
      </c>
      <c r="D120" s="702"/>
      <c r="E120" s="725"/>
      <c r="F120" s="271"/>
      <c r="G120" s="272"/>
      <c r="H120" s="740"/>
      <c r="I120" s="314"/>
    </row>
    <row r="121" spans="1:9" ht="30" customHeight="1">
      <c r="A121" s="25"/>
      <c r="B121" s="27"/>
      <c r="C121" s="24" t="s">
        <v>577</v>
      </c>
      <c r="D121" s="706">
        <v>10200</v>
      </c>
      <c r="E121" s="706">
        <f>'(지출-비등록금회계)'!D370</f>
        <v>0</v>
      </c>
      <c r="F121" s="273">
        <v>0</v>
      </c>
      <c r="G121" s="268">
        <f>D121+E121-F121</f>
        <v>10200</v>
      </c>
      <c r="H121" s="657">
        <v>39050</v>
      </c>
      <c r="I121" s="312">
        <f>G121-H121</f>
        <v>-28850</v>
      </c>
    </row>
    <row r="122" spans="1:9" ht="30" customHeight="1">
      <c r="A122" s="25"/>
      <c r="B122" s="27"/>
      <c r="C122" s="27">
        <v>4325</v>
      </c>
      <c r="D122" s="697"/>
      <c r="E122" s="715"/>
      <c r="F122" s="269"/>
      <c r="G122" s="270"/>
      <c r="H122" s="709"/>
      <c r="I122" s="313"/>
    </row>
    <row r="123" spans="1:9" ht="30" customHeight="1">
      <c r="A123" s="25"/>
      <c r="B123" s="27"/>
      <c r="C123" s="24" t="s">
        <v>578</v>
      </c>
      <c r="D123" s="701">
        <v>250755</v>
      </c>
      <c r="E123" s="706">
        <v>8108</v>
      </c>
      <c r="F123" s="273">
        <v>0</v>
      </c>
      <c r="G123" s="268">
        <f>D123+E123-F123</f>
        <v>258863</v>
      </c>
      <c r="H123" s="657">
        <v>528100</v>
      </c>
      <c r="I123" s="312">
        <f>G123-H123</f>
        <v>-269237</v>
      </c>
    </row>
    <row r="124" spans="1:9" ht="30" customHeight="1">
      <c r="A124" s="25"/>
      <c r="B124" s="27"/>
      <c r="C124" s="27">
        <v>4329</v>
      </c>
      <c r="D124" s="697"/>
      <c r="E124" s="715"/>
      <c r="F124" s="269"/>
      <c r="G124" s="270"/>
      <c r="H124" s="709"/>
      <c r="I124" s="313"/>
    </row>
    <row r="125" spans="1:9" ht="30" customHeight="1">
      <c r="A125" s="25"/>
      <c r="B125" s="24"/>
      <c r="C125" s="33" t="s">
        <v>579</v>
      </c>
      <c r="D125" s="706">
        <v>54504</v>
      </c>
      <c r="E125" s="706">
        <v>1020</v>
      </c>
      <c r="F125" s="273">
        <v>0</v>
      </c>
      <c r="G125" s="268">
        <f>D125+E125-F125</f>
        <v>55524</v>
      </c>
      <c r="H125" s="657">
        <v>137000</v>
      </c>
      <c r="I125" s="312">
        <f>G125-H125</f>
        <v>-81476</v>
      </c>
    </row>
    <row r="126" spans="1:9" ht="30" customHeight="1">
      <c r="A126" s="34"/>
      <c r="B126" s="28">
        <v>4330</v>
      </c>
      <c r="C126" s="28"/>
      <c r="D126" s="702"/>
      <c r="E126" s="725"/>
      <c r="F126" s="271"/>
      <c r="G126" s="272"/>
      <c r="H126" s="740"/>
      <c r="I126" s="314"/>
    </row>
    <row r="127" spans="1:9" ht="30" customHeight="1">
      <c r="A127" s="25"/>
      <c r="B127" s="27" t="s">
        <v>580</v>
      </c>
      <c r="C127" s="24"/>
      <c r="D127" s="657">
        <f>D129+D131</f>
        <v>0</v>
      </c>
      <c r="E127" s="706">
        <f>E129+E131</f>
        <v>815475</v>
      </c>
      <c r="F127" s="267">
        <f>F129+F131</f>
        <v>0</v>
      </c>
      <c r="G127" s="268">
        <f>D127+E127-F127</f>
        <v>815475</v>
      </c>
      <c r="H127" s="657">
        <f>H129+H131</f>
        <v>980000</v>
      </c>
      <c r="I127" s="312">
        <f>G127-H127</f>
        <v>-164525</v>
      </c>
    </row>
    <row r="128" spans="1:9" ht="30" customHeight="1">
      <c r="A128" s="34"/>
      <c r="B128" s="27"/>
      <c r="C128" s="27">
        <v>4331</v>
      </c>
      <c r="D128" s="697"/>
      <c r="E128" s="715"/>
      <c r="F128" s="269"/>
      <c r="G128" s="270"/>
      <c r="H128" s="709"/>
      <c r="I128" s="313"/>
    </row>
    <row r="129" spans="1:9" ht="30" customHeight="1">
      <c r="A129" s="34"/>
      <c r="B129" s="27"/>
      <c r="C129" s="24" t="s">
        <v>581</v>
      </c>
      <c r="D129" s="706">
        <f>'(지출-등록금회계)'!D488</f>
        <v>0</v>
      </c>
      <c r="E129" s="706">
        <v>193900</v>
      </c>
      <c r="F129" s="273">
        <v>0</v>
      </c>
      <c r="G129" s="268">
        <f>D129+E129-F129</f>
        <v>193900</v>
      </c>
      <c r="H129" s="657">
        <v>190000</v>
      </c>
      <c r="I129" s="312">
        <f>G129-H129</f>
        <v>3900</v>
      </c>
    </row>
    <row r="130" spans="1:9" ht="30" customHeight="1">
      <c r="A130" s="34"/>
      <c r="B130" s="27"/>
      <c r="C130" s="27">
        <v>4332</v>
      </c>
      <c r="D130" s="697"/>
      <c r="E130" s="715"/>
      <c r="F130" s="269" t="s">
        <v>511</v>
      </c>
      <c r="G130" s="270"/>
      <c r="H130" s="709"/>
      <c r="I130" s="313"/>
    </row>
    <row r="131" spans="1:9" ht="30" customHeight="1">
      <c r="A131" s="351"/>
      <c r="B131" s="345"/>
      <c r="C131" s="345" t="s">
        <v>582</v>
      </c>
      <c r="D131" s="714">
        <f>'(지출-등록금회계)'!D496</f>
        <v>0</v>
      </c>
      <c r="E131" s="714">
        <v>621575</v>
      </c>
      <c r="F131" s="349">
        <v>0</v>
      </c>
      <c r="G131" s="346">
        <f>D131+E131-F131</f>
        <v>621575</v>
      </c>
      <c r="H131" s="705">
        <v>790000</v>
      </c>
      <c r="I131" s="348">
        <f>G131-H131</f>
        <v>-168425</v>
      </c>
    </row>
    <row r="132" spans="1:9" ht="30" customHeight="1">
      <c r="A132" s="25">
        <v>4400</v>
      </c>
      <c r="B132" s="27"/>
      <c r="C132" s="27"/>
      <c r="D132" s="697"/>
      <c r="E132" s="715"/>
      <c r="F132" s="269"/>
      <c r="G132" s="281"/>
      <c r="H132" s="704"/>
      <c r="I132" s="318"/>
    </row>
    <row r="133" spans="1:9" ht="30" customHeight="1">
      <c r="A133" s="25" t="s">
        <v>583</v>
      </c>
      <c r="B133" s="24" t="s">
        <v>511</v>
      </c>
      <c r="C133" s="24"/>
      <c r="D133" s="657">
        <f>D139+D135</f>
        <v>17998</v>
      </c>
      <c r="E133" s="706">
        <f>E139+E135</f>
        <v>22022</v>
      </c>
      <c r="F133" s="267">
        <f>F139+F135</f>
        <v>0</v>
      </c>
      <c r="G133" s="268">
        <f>D133+E133-F133</f>
        <v>40020</v>
      </c>
      <c r="H133" s="657">
        <f>H139+H135</f>
        <v>40000</v>
      </c>
      <c r="I133" s="312">
        <f>G133-H133</f>
        <v>20</v>
      </c>
    </row>
    <row r="134" spans="1:9" ht="30" customHeight="1">
      <c r="A134" s="34"/>
      <c r="B134" s="27">
        <v>4410</v>
      </c>
      <c r="C134" s="27"/>
      <c r="D134" s="697"/>
      <c r="E134" s="715"/>
      <c r="F134" s="269"/>
      <c r="G134" s="270"/>
      <c r="H134" s="709"/>
      <c r="I134" s="313"/>
    </row>
    <row r="135" spans="1:9" ht="30" customHeight="1">
      <c r="A135" s="92"/>
      <c r="B135" s="27" t="s">
        <v>584</v>
      </c>
      <c r="C135" s="27"/>
      <c r="D135" s="709">
        <f>D137</f>
        <v>0</v>
      </c>
      <c r="E135" s="715">
        <f>E137</f>
        <v>0</v>
      </c>
      <c r="F135" s="278">
        <f>F137</f>
        <v>0</v>
      </c>
      <c r="G135" s="268">
        <f>D135+E135-F135</f>
        <v>0</v>
      </c>
      <c r="H135" s="709">
        <f>H137</f>
        <v>0</v>
      </c>
      <c r="I135" s="312">
        <f>G135-H135</f>
        <v>0</v>
      </c>
    </row>
    <row r="136" spans="1:9" ht="24" customHeight="1">
      <c r="A136" s="25"/>
      <c r="B136" s="27"/>
      <c r="C136" s="28">
        <v>4411</v>
      </c>
      <c r="D136" s="702"/>
      <c r="E136" s="725"/>
      <c r="F136" s="271"/>
      <c r="G136" s="272"/>
      <c r="H136" s="740"/>
      <c r="I136" s="314"/>
    </row>
    <row r="137" spans="1:9" ht="24" customHeight="1">
      <c r="A137" s="25"/>
      <c r="B137" s="27"/>
      <c r="C137" s="27" t="s">
        <v>584</v>
      </c>
      <c r="D137" s="715">
        <f>'(지출-등록금회계)'!D503</f>
        <v>0</v>
      </c>
      <c r="E137" s="715">
        <f>'(지출-비등록금회계)'!D417</f>
        <v>0</v>
      </c>
      <c r="F137" s="269">
        <v>0</v>
      </c>
      <c r="G137" s="268">
        <f>D137+E137-F137</f>
        <v>0</v>
      </c>
      <c r="H137" s="709">
        <v>0</v>
      </c>
      <c r="I137" s="313">
        <f>G137-H137</f>
        <v>0</v>
      </c>
    </row>
    <row r="138" spans="1:9" ht="30" customHeight="1">
      <c r="A138" s="25"/>
      <c r="B138" s="28">
        <v>4420</v>
      </c>
      <c r="C138" s="28"/>
      <c r="D138" s="702"/>
      <c r="E138" s="725"/>
      <c r="F138" s="271"/>
      <c r="G138" s="272"/>
      <c r="H138" s="740"/>
      <c r="I138" s="314"/>
    </row>
    <row r="139" spans="1:9" ht="30" customHeight="1">
      <c r="A139" s="25"/>
      <c r="B139" s="27" t="s">
        <v>585</v>
      </c>
      <c r="C139" s="24"/>
      <c r="D139" s="657">
        <f>D141</f>
        <v>17998</v>
      </c>
      <c r="E139" s="706">
        <f>E141</f>
        <v>22022</v>
      </c>
      <c r="F139" s="267">
        <f>F141</f>
        <v>0</v>
      </c>
      <c r="G139" s="268">
        <f>D139+E139-F139</f>
        <v>40020</v>
      </c>
      <c r="H139" s="657">
        <f>H141</f>
        <v>40000</v>
      </c>
      <c r="I139" s="312">
        <f>G139-H139</f>
        <v>20</v>
      </c>
    </row>
    <row r="140" spans="1:9" ht="27" customHeight="1">
      <c r="A140" s="25"/>
      <c r="B140" s="27"/>
      <c r="C140" s="27">
        <v>4421</v>
      </c>
      <c r="D140" s="697"/>
      <c r="E140" s="715"/>
      <c r="F140" s="269"/>
      <c r="G140" s="270"/>
      <c r="H140" s="709"/>
      <c r="I140" s="313"/>
    </row>
    <row r="141" spans="1:9" ht="30" customHeight="1">
      <c r="A141" s="23"/>
      <c r="B141" s="24"/>
      <c r="C141" s="24" t="s">
        <v>586</v>
      </c>
      <c r="D141" s="706">
        <v>17998</v>
      </c>
      <c r="E141" s="706">
        <v>22022</v>
      </c>
      <c r="F141" s="273">
        <v>0</v>
      </c>
      <c r="G141" s="268">
        <f>D141+E141-F141</f>
        <v>40020</v>
      </c>
      <c r="H141" s="657">
        <v>40000</v>
      </c>
      <c r="I141" s="312">
        <f>G141-H141</f>
        <v>20</v>
      </c>
    </row>
    <row r="142" spans="1:9" ht="30" customHeight="1">
      <c r="A142" s="25">
        <v>4500</v>
      </c>
      <c r="B142" s="27"/>
      <c r="C142" s="27"/>
      <c r="D142" s="697"/>
      <c r="E142" s="715"/>
      <c r="F142" s="269"/>
      <c r="G142" s="281"/>
      <c r="H142" s="704"/>
      <c r="I142" s="318"/>
    </row>
    <row r="143" spans="1:9" ht="30" customHeight="1">
      <c r="A143" s="25" t="s">
        <v>587</v>
      </c>
      <c r="B143" s="27" t="s">
        <v>511</v>
      </c>
      <c r="C143" s="27"/>
      <c r="D143" s="709">
        <f>D145</f>
        <v>3700000</v>
      </c>
      <c r="E143" s="715">
        <f>E145</f>
        <v>0</v>
      </c>
      <c r="F143" s="278">
        <f>F145</f>
        <v>3700000</v>
      </c>
      <c r="G143" s="270">
        <f>D143+E143-F143</f>
        <v>0</v>
      </c>
      <c r="H143" s="709">
        <f>H145</f>
        <v>0</v>
      </c>
      <c r="I143" s="313">
        <f>G143-H143</f>
        <v>0</v>
      </c>
    </row>
    <row r="144" spans="1:9" ht="30" customHeight="1">
      <c r="A144" s="1108"/>
      <c r="B144" s="1074">
        <v>4510</v>
      </c>
      <c r="C144" s="1074"/>
      <c r="D144" s="1094"/>
      <c r="E144" s="1095"/>
      <c r="F144" s="1096"/>
      <c r="G144" s="1097"/>
      <c r="H144" s="1098"/>
      <c r="I144" s="1099"/>
    </row>
    <row r="145" spans="1:9" ht="30" customHeight="1">
      <c r="A145" s="352"/>
      <c r="B145" s="345" t="s">
        <v>587</v>
      </c>
      <c r="C145" s="345"/>
      <c r="D145" s="705">
        <f>D147+D149+D151</f>
        <v>3700000</v>
      </c>
      <c r="E145" s="714">
        <f>E147+E149+E151</f>
        <v>0</v>
      </c>
      <c r="F145" s="347">
        <f>F147+F149+F151</f>
        <v>3700000</v>
      </c>
      <c r="G145" s="346">
        <f>D145+E145-F145</f>
        <v>0</v>
      </c>
      <c r="H145" s="705">
        <f>H147</f>
        <v>0</v>
      </c>
      <c r="I145" s="348">
        <f>G145-H145</f>
        <v>0</v>
      </c>
    </row>
    <row r="146" spans="1:9" ht="27" customHeight="1">
      <c r="A146" s="25"/>
      <c r="B146" s="27"/>
      <c r="C146" s="27">
        <v>4516</v>
      </c>
      <c r="D146" s="697"/>
      <c r="E146" s="715"/>
      <c r="F146" s="269"/>
      <c r="G146" s="270"/>
      <c r="H146" s="709"/>
      <c r="I146" s="313"/>
    </row>
    <row r="147" spans="1:9" ht="30" customHeight="1">
      <c r="A147" s="25"/>
      <c r="B147" s="27"/>
      <c r="C147" s="24" t="s">
        <v>588</v>
      </c>
      <c r="D147" s="706">
        <f>'(지출-등록금회계)'!D519</f>
        <v>0</v>
      </c>
      <c r="E147" s="706">
        <f>'(지출-비등록금회계)'!D435</f>
        <v>0</v>
      </c>
      <c r="F147" s="273">
        <f>SUM(D147:E147)</f>
        <v>0</v>
      </c>
      <c r="G147" s="268">
        <f>D147+E147-F147</f>
        <v>0</v>
      </c>
      <c r="H147" s="657">
        <v>0</v>
      </c>
      <c r="I147" s="312">
        <f>G147-H147</f>
        <v>0</v>
      </c>
    </row>
    <row r="148" spans="1:9" ht="26.25" customHeight="1">
      <c r="A148" s="25"/>
      <c r="B148" s="27"/>
      <c r="C148" s="28">
        <v>4518</v>
      </c>
      <c r="D148" s="702"/>
      <c r="E148" s="725"/>
      <c r="F148" s="271"/>
      <c r="G148" s="272"/>
      <c r="H148" s="740"/>
      <c r="I148" s="314"/>
    </row>
    <row r="149" spans="1:9" ht="33" customHeight="1">
      <c r="A149" s="25"/>
      <c r="B149" s="27"/>
      <c r="C149" s="33" t="s">
        <v>589</v>
      </c>
      <c r="D149" s="706">
        <v>0</v>
      </c>
      <c r="E149" s="706">
        <v>0</v>
      </c>
      <c r="F149" s="273">
        <f>+E149</f>
        <v>0</v>
      </c>
      <c r="G149" s="268">
        <f>D149+E149-F149</f>
        <v>0</v>
      </c>
      <c r="H149" s="657">
        <v>0</v>
      </c>
      <c r="I149" s="312">
        <f>G149-H149</f>
        <v>0</v>
      </c>
    </row>
    <row r="150" spans="1:9" ht="23.25" customHeight="1">
      <c r="A150" s="25"/>
      <c r="B150" s="27"/>
      <c r="C150" s="28">
        <v>4519</v>
      </c>
      <c r="D150" s="702"/>
      <c r="E150" s="725"/>
      <c r="F150" s="271"/>
      <c r="G150" s="272"/>
      <c r="H150" s="740"/>
      <c r="I150" s="314"/>
    </row>
    <row r="151" spans="1:9" ht="33" customHeight="1">
      <c r="A151" s="23"/>
      <c r="B151" s="24"/>
      <c r="C151" s="693" t="s">
        <v>875</v>
      </c>
      <c r="D151" s="706">
        <f>'(지출-등록금회계)'!D521</f>
        <v>3700000</v>
      </c>
      <c r="E151" s="706">
        <f>'(지출-비등록금회계)'!D437</f>
        <v>0</v>
      </c>
      <c r="F151" s="273">
        <f>+D151</f>
        <v>3700000</v>
      </c>
      <c r="G151" s="268">
        <f>D151+E151-F151</f>
        <v>0</v>
      </c>
      <c r="H151" s="657">
        <v>0</v>
      </c>
      <c r="I151" s="312">
        <f>G151-H151</f>
        <v>0</v>
      </c>
    </row>
    <row r="152" spans="1:9" ht="36" customHeight="1">
      <c r="A152" s="25">
        <v>4600</v>
      </c>
      <c r="B152" s="27"/>
      <c r="C152" s="27"/>
      <c r="D152" s="697"/>
      <c r="E152" s="715"/>
      <c r="F152" s="269"/>
      <c r="G152" s="270"/>
      <c r="H152" s="709"/>
      <c r="I152" s="313"/>
    </row>
    <row r="153" spans="1:9" ht="36" customHeight="1">
      <c r="A153" s="25" t="s">
        <v>590</v>
      </c>
      <c r="B153" s="24"/>
      <c r="C153" s="24"/>
      <c r="D153" s="657">
        <f>D155</f>
        <v>700000</v>
      </c>
      <c r="E153" s="706">
        <f>E155</f>
        <v>600000</v>
      </c>
      <c r="F153" s="267">
        <f>F155</f>
        <v>0</v>
      </c>
      <c r="G153" s="268">
        <f>D153+E153-F153</f>
        <v>1300000</v>
      </c>
      <c r="H153" s="657">
        <f>H155</f>
        <v>1200000</v>
      </c>
      <c r="I153" s="312">
        <f>G153-H153</f>
        <v>100000</v>
      </c>
    </row>
    <row r="154" spans="1:9" ht="25.5" customHeight="1">
      <c r="A154" s="25"/>
      <c r="B154" s="27">
        <v>4610</v>
      </c>
      <c r="C154" s="27"/>
      <c r="D154" s="697"/>
      <c r="E154" s="715"/>
      <c r="F154" s="269"/>
      <c r="G154" s="270"/>
      <c r="H154" s="709"/>
      <c r="I154" s="313"/>
    </row>
    <row r="155" spans="1:9" ht="25.5" customHeight="1">
      <c r="A155" s="25" t="s">
        <v>511</v>
      </c>
      <c r="B155" s="27" t="s">
        <v>590</v>
      </c>
      <c r="C155" s="24"/>
      <c r="D155" s="657">
        <f>SUM(D157)</f>
        <v>700000</v>
      </c>
      <c r="E155" s="706">
        <f>SUM(E157)</f>
        <v>600000</v>
      </c>
      <c r="F155" s="267">
        <f>SUM(F157)</f>
        <v>0</v>
      </c>
      <c r="G155" s="268">
        <f>D155+E155-F155</f>
        <v>1300000</v>
      </c>
      <c r="H155" s="657">
        <f>SUM(H157)</f>
        <v>1200000</v>
      </c>
      <c r="I155" s="312">
        <f>G155-H155</f>
        <v>100000</v>
      </c>
    </row>
    <row r="156" spans="1:9" ht="23.25" customHeight="1">
      <c r="A156" s="25"/>
      <c r="B156" s="27"/>
      <c r="C156" s="27">
        <v>4611</v>
      </c>
      <c r="D156" s="697"/>
      <c r="E156" s="715"/>
      <c r="F156" s="269"/>
      <c r="G156" s="270"/>
      <c r="H156" s="709"/>
      <c r="I156" s="313"/>
    </row>
    <row r="157" spans="1:9" ht="30" customHeight="1">
      <c r="A157" s="952"/>
      <c r="B157" s="949"/>
      <c r="C157" s="949" t="s">
        <v>590</v>
      </c>
      <c r="D157" s="1100">
        <v>700000</v>
      </c>
      <c r="E157" s="1100">
        <v>600000</v>
      </c>
      <c r="F157" s="1107">
        <v>0</v>
      </c>
      <c r="G157" s="1102">
        <f>D157+E157-F157</f>
        <v>1300000</v>
      </c>
      <c r="H157" s="657">
        <v>1200000</v>
      </c>
      <c r="I157" s="1103">
        <f>G157-H157</f>
        <v>100000</v>
      </c>
    </row>
    <row r="158" spans="1:9" ht="26.25" customHeight="1">
      <c r="A158" s="25">
        <v>1200</v>
      </c>
      <c r="B158" s="27"/>
      <c r="C158" s="27"/>
      <c r="D158" s="697"/>
      <c r="E158" s="715"/>
      <c r="F158" s="269"/>
      <c r="G158" s="270"/>
      <c r="H158" s="709"/>
      <c r="I158" s="313"/>
    </row>
    <row r="159" spans="1:9" ht="33.75" customHeight="1">
      <c r="A159" s="42" t="s">
        <v>591</v>
      </c>
      <c r="B159" s="345"/>
      <c r="C159" s="345"/>
      <c r="D159" s="705">
        <f>D171+D165+D161</f>
        <v>0</v>
      </c>
      <c r="E159" s="705">
        <f>E171+E165+E161</f>
        <v>41386905</v>
      </c>
      <c r="F159" s="346">
        <f>F171+F165+F161</f>
        <v>0</v>
      </c>
      <c r="G159" s="346">
        <f>G171+G165+G161</f>
        <v>41386905</v>
      </c>
      <c r="H159" s="705">
        <f>H171+H165+H161</f>
        <v>22760206</v>
      </c>
      <c r="I159" s="348">
        <f>G159-H159</f>
        <v>18626699</v>
      </c>
    </row>
    <row r="160" spans="1:9" ht="25.5" customHeight="1">
      <c r="A160" s="25"/>
      <c r="B160" s="27">
        <v>1220</v>
      </c>
      <c r="C160" s="27"/>
      <c r="D160" s="697"/>
      <c r="E160" s="715"/>
      <c r="F160" s="269"/>
      <c r="G160" s="270"/>
      <c r="H160" s="709"/>
      <c r="I160" s="313"/>
    </row>
    <row r="161" spans="1:9" ht="30" customHeight="1">
      <c r="A161" s="25"/>
      <c r="B161" s="32" t="s">
        <v>592</v>
      </c>
      <c r="C161" s="24"/>
      <c r="D161" s="657">
        <f>SUM(D163)</f>
        <v>0</v>
      </c>
      <c r="E161" s="706">
        <f>SUM(E163)</f>
        <v>0</v>
      </c>
      <c r="F161" s="267">
        <f>SUM(F163)</f>
        <v>0</v>
      </c>
      <c r="G161" s="268">
        <f>D161+E161-F161</f>
        <v>0</v>
      </c>
      <c r="H161" s="657">
        <f>SUM(H163)</f>
        <v>0</v>
      </c>
      <c r="I161" s="312">
        <f>G161-H161</f>
        <v>0</v>
      </c>
    </row>
    <row r="162" spans="1:9" ht="25.5" customHeight="1">
      <c r="A162" s="25"/>
      <c r="B162" s="27"/>
      <c r="C162" s="27">
        <v>1221</v>
      </c>
      <c r="D162" s="697"/>
      <c r="E162" s="715"/>
      <c r="F162" s="269"/>
      <c r="G162" s="270"/>
      <c r="H162" s="709"/>
      <c r="I162" s="313"/>
    </row>
    <row r="163" spans="1:9" ht="30" customHeight="1">
      <c r="A163" s="25"/>
      <c r="B163" s="24"/>
      <c r="C163" s="33" t="s">
        <v>593</v>
      </c>
      <c r="D163" s="716">
        <f>'(지출-등록금회계)'!D533</f>
        <v>0</v>
      </c>
      <c r="E163" s="726">
        <v>0</v>
      </c>
      <c r="F163" s="279">
        <v>0</v>
      </c>
      <c r="G163" s="268">
        <f>D163+E163-F163</f>
        <v>0</v>
      </c>
      <c r="H163" s="657">
        <v>0</v>
      </c>
      <c r="I163" s="312">
        <f>G163-H163</f>
        <v>0</v>
      </c>
    </row>
    <row r="164" spans="1:9" ht="30" customHeight="1">
      <c r="A164" s="25"/>
      <c r="B164" s="28">
        <v>1240</v>
      </c>
      <c r="C164" s="28"/>
      <c r="D164" s="702"/>
      <c r="E164" s="725"/>
      <c r="F164" s="271"/>
      <c r="G164" s="272"/>
      <c r="H164" s="740"/>
      <c r="I164" s="314"/>
    </row>
    <row r="165" spans="1:9" s="36" customFormat="1" ht="32.25" customHeight="1">
      <c r="A165" s="25"/>
      <c r="B165" s="32" t="s">
        <v>594</v>
      </c>
      <c r="C165" s="24"/>
      <c r="D165" s="657">
        <f>SUM(D169+D167)</f>
        <v>0</v>
      </c>
      <c r="E165" s="657">
        <f>SUM(E169+E167)</f>
        <v>0</v>
      </c>
      <c r="F165" s="268">
        <f>SUM(F169+F167)</f>
        <v>0</v>
      </c>
      <c r="G165" s="268">
        <f>D165+E165-F165</f>
        <v>0</v>
      </c>
      <c r="H165" s="657">
        <f>SUM(H169+H167)</f>
        <v>0</v>
      </c>
      <c r="I165" s="312">
        <f>G165-H165</f>
        <v>0</v>
      </c>
    </row>
    <row r="166" spans="1:9" s="36" customFormat="1" ht="32.25" customHeight="1">
      <c r="A166" s="25"/>
      <c r="B166" s="32"/>
      <c r="C166" s="27">
        <v>1242</v>
      </c>
      <c r="D166" s="697"/>
      <c r="E166" s="715"/>
      <c r="F166" s="269"/>
      <c r="G166" s="270"/>
      <c r="H166" s="709"/>
      <c r="I166" s="313"/>
    </row>
    <row r="167" spans="1:9" s="36" customFormat="1" ht="32.25" customHeight="1">
      <c r="A167" s="25"/>
      <c r="B167" s="32"/>
      <c r="C167" s="96" t="s">
        <v>596</v>
      </c>
      <c r="D167" s="717">
        <f>'(지출-등록금회계)'!D537</f>
        <v>0</v>
      </c>
      <c r="E167" s="726">
        <v>0</v>
      </c>
      <c r="F167" s="279">
        <v>0</v>
      </c>
      <c r="G167" s="268">
        <f>D167+E167-F167</f>
        <v>0</v>
      </c>
      <c r="H167" s="657">
        <v>0</v>
      </c>
      <c r="I167" s="312">
        <f>G167-H167</f>
        <v>0</v>
      </c>
    </row>
    <row r="168" spans="1:9" s="36" customFormat="1" ht="32.25" customHeight="1">
      <c r="A168" s="25"/>
      <c r="B168" s="27"/>
      <c r="C168" s="27">
        <v>1249</v>
      </c>
      <c r="D168" s="697"/>
      <c r="E168" s="715"/>
      <c r="F168" s="269"/>
      <c r="G168" s="270"/>
      <c r="H168" s="709"/>
      <c r="I168" s="313"/>
    </row>
    <row r="169" spans="1:9" ht="32.25" customHeight="1">
      <c r="A169" s="25"/>
      <c r="B169" s="27"/>
      <c r="C169" s="32" t="s">
        <v>594</v>
      </c>
      <c r="D169" s="717">
        <f>'(지출-등록금회계)'!D539</f>
        <v>0</v>
      </c>
      <c r="E169" s="726">
        <v>0</v>
      </c>
      <c r="F169" s="279">
        <v>0</v>
      </c>
      <c r="G169" s="268">
        <f>D169+E169-F169</f>
        <v>0</v>
      </c>
      <c r="H169" s="657">
        <v>0</v>
      </c>
      <c r="I169" s="312">
        <f>G169-H169</f>
        <v>0</v>
      </c>
    </row>
    <row r="170" spans="1:9" ht="30" customHeight="1">
      <c r="A170" s="25"/>
      <c r="B170" s="28">
        <v>1260</v>
      </c>
      <c r="C170" s="28"/>
      <c r="D170" s="702"/>
      <c r="E170" s="725"/>
      <c r="F170" s="271"/>
      <c r="G170" s="272"/>
      <c r="H170" s="740"/>
      <c r="I170" s="314"/>
    </row>
    <row r="171" spans="1:9" s="36" customFormat="1" ht="32.25" customHeight="1">
      <c r="A171" s="25"/>
      <c r="B171" s="32" t="s">
        <v>597</v>
      </c>
      <c r="C171" s="345"/>
      <c r="D171" s="705">
        <f>D175+D173+D177+D179</f>
        <v>0</v>
      </c>
      <c r="E171" s="714">
        <f>E175+E173+E177+E179</f>
        <v>41386905</v>
      </c>
      <c r="F171" s="347">
        <f>F175+F173+F177+F179</f>
        <v>0</v>
      </c>
      <c r="G171" s="346">
        <f>D171+E171-F171</f>
        <v>41386905</v>
      </c>
      <c r="H171" s="705">
        <f>H175+H173+H177+H179</f>
        <v>22760206</v>
      </c>
      <c r="I171" s="348">
        <f>G171-H171</f>
        <v>18626699</v>
      </c>
    </row>
    <row r="172" spans="1:9" s="36" customFormat="1" ht="22.5" customHeight="1">
      <c r="A172" s="25"/>
      <c r="B172" s="27"/>
      <c r="C172" s="27">
        <v>1262</v>
      </c>
      <c r="D172" s="697"/>
      <c r="E172" s="715"/>
      <c r="F172" s="269"/>
      <c r="G172" s="270"/>
      <c r="H172" s="709"/>
      <c r="I172" s="313"/>
    </row>
    <row r="173" spans="1:9" ht="32.25" customHeight="1">
      <c r="A173" s="25"/>
      <c r="B173" s="27"/>
      <c r="C173" s="353" t="s">
        <v>598</v>
      </c>
      <c r="D173" s="718">
        <f>'(지출-등록금회계)'!D543</f>
        <v>0</v>
      </c>
      <c r="E173" s="727">
        <v>11372</v>
      </c>
      <c r="F173" s="354">
        <v>0</v>
      </c>
      <c r="G173" s="346">
        <f>D173+E173-F173</f>
        <v>11372</v>
      </c>
      <c r="H173" s="705">
        <v>25000</v>
      </c>
      <c r="I173" s="348">
        <f>G173-H173</f>
        <v>-13628</v>
      </c>
    </row>
    <row r="174" spans="1:9" ht="27" customHeight="1">
      <c r="A174" s="25"/>
      <c r="B174" s="27"/>
      <c r="C174" s="27">
        <v>1263</v>
      </c>
      <c r="D174" s="697"/>
      <c r="E174" s="715"/>
      <c r="F174" s="269"/>
      <c r="G174" s="270"/>
      <c r="H174" s="709"/>
      <c r="I174" s="313"/>
    </row>
    <row r="175" spans="1:9" ht="32.25" customHeight="1">
      <c r="A175" s="25"/>
      <c r="B175" s="27"/>
      <c r="C175" s="33" t="s">
        <v>599</v>
      </c>
      <c r="D175" s="717">
        <f>'(지출-등록금회계)'!D545</f>
        <v>0</v>
      </c>
      <c r="E175" s="726">
        <f>25074400+19056942-3100000</f>
        <v>41031342</v>
      </c>
      <c r="F175" s="279">
        <v>0</v>
      </c>
      <c r="G175" s="268">
        <f>D175+E175-F175</f>
        <v>41031342</v>
      </c>
      <c r="H175" s="657">
        <v>5471000</v>
      </c>
      <c r="I175" s="312">
        <f>G175-H175</f>
        <v>35560342</v>
      </c>
    </row>
    <row r="176" spans="1:9" ht="32.25" customHeight="1">
      <c r="A176" s="25"/>
      <c r="B176" s="27"/>
      <c r="C176" s="27">
        <v>1264</v>
      </c>
      <c r="D176" s="697"/>
      <c r="E176" s="715"/>
      <c r="F176" s="269"/>
      <c r="G176" s="270"/>
      <c r="H176" s="709"/>
      <c r="I176" s="313"/>
    </row>
    <row r="177" spans="1:9" ht="32.25" customHeight="1">
      <c r="A177" s="25"/>
      <c r="B177" s="27"/>
      <c r="C177" s="96" t="s">
        <v>600</v>
      </c>
      <c r="D177" s="717">
        <f>'(지출-등록금회계)'!D547</f>
        <v>0</v>
      </c>
      <c r="E177" s="726">
        <v>85973</v>
      </c>
      <c r="F177" s="279">
        <v>0</v>
      </c>
      <c r="G177" s="268">
        <f>D177+E177-F177</f>
        <v>85973</v>
      </c>
      <c r="H177" s="657">
        <v>65000</v>
      </c>
      <c r="I177" s="312">
        <f>G177-H177</f>
        <v>20973</v>
      </c>
    </row>
    <row r="178" spans="1:9" ht="22.5" customHeight="1">
      <c r="A178" s="25"/>
      <c r="B178" s="27"/>
      <c r="C178" s="27">
        <v>1266</v>
      </c>
      <c r="D178" s="697"/>
      <c r="E178" s="715"/>
      <c r="F178" s="269"/>
      <c r="G178" s="270"/>
      <c r="H178" s="709"/>
      <c r="I178" s="313"/>
    </row>
    <row r="179" spans="1:9" ht="32.25" customHeight="1">
      <c r="A179" s="23"/>
      <c r="B179" s="24"/>
      <c r="C179" s="490" t="s">
        <v>1254</v>
      </c>
      <c r="D179" s="717">
        <f>'(지출-등록금회계)'!D549</f>
        <v>0</v>
      </c>
      <c r="E179" s="726">
        <v>258218</v>
      </c>
      <c r="F179" s="279">
        <v>0</v>
      </c>
      <c r="G179" s="268">
        <f>D179+E179-F179</f>
        <v>258218</v>
      </c>
      <c r="H179" s="657">
        <v>17199206</v>
      </c>
      <c r="I179" s="312">
        <f>G179-H179</f>
        <v>-16940988</v>
      </c>
    </row>
    <row r="180" spans="1:9" ht="21.75" customHeight="1">
      <c r="A180" s="25">
        <v>1300</v>
      </c>
      <c r="B180" s="27"/>
      <c r="C180" s="27"/>
      <c r="D180" s="697"/>
      <c r="E180" s="715"/>
      <c r="F180" s="269"/>
      <c r="G180" s="270"/>
      <c r="H180" s="709"/>
      <c r="I180" s="313"/>
    </row>
    <row r="181" spans="1:9" ht="34.5" customHeight="1">
      <c r="A181" s="42" t="s">
        <v>601</v>
      </c>
      <c r="B181" s="24"/>
      <c r="C181" s="24"/>
      <c r="D181" s="657">
        <f>D183+D203</f>
        <v>1418517</v>
      </c>
      <c r="E181" s="706">
        <f>E183+E203</f>
        <v>19266721</v>
      </c>
      <c r="F181" s="267">
        <f>F183+F203</f>
        <v>0</v>
      </c>
      <c r="G181" s="268">
        <f>D181+E181-F181</f>
        <v>20685238</v>
      </c>
      <c r="H181" s="657">
        <f>H183+H203</f>
        <v>16753000</v>
      </c>
      <c r="I181" s="312">
        <f>G181-H181</f>
        <v>3932238</v>
      </c>
    </row>
    <row r="182" spans="1:9" ht="21.75" customHeight="1">
      <c r="A182" s="25"/>
      <c r="B182" s="27">
        <v>1310</v>
      </c>
      <c r="C182" s="27"/>
      <c r="D182" s="697"/>
      <c r="E182" s="715"/>
      <c r="F182" s="269"/>
      <c r="G182" s="270"/>
      <c r="H182" s="709"/>
      <c r="I182" s="313"/>
    </row>
    <row r="183" spans="1:9" ht="45.75" customHeight="1">
      <c r="A183" s="25"/>
      <c r="B183" s="32" t="s">
        <v>602</v>
      </c>
      <c r="C183" s="24"/>
      <c r="D183" s="657">
        <f>D185+D187+D191+D193+D195+D197+D199+D201+D189</f>
        <v>1418517</v>
      </c>
      <c r="E183" s="706">
        <f>E185+E187+E191+E193+E195+E197+E199+E201+E189</f>
        <v>19266721</v>
      </c>
      <c r="F183" s="267">
        <f>F185+F187+F191+F193+F195+F197+F199+F201+F189</f>
        <v>0</v>
      </c>
      <c r="G183" s="268">
        <f>D183+E183-F183</f>
        <v>20685238</v>
      </c>
      <c r="H183" s="657">
        <f>H185+H187+H191+H193+H195+H197+H199+H201+H189</f>
        <v>16753000</v>
      </c>
      <c r="I183" s="312">
        <f>G183-H183</f>
        <v>3932238</v>
      </c>
    </row>
    <row r="184" spans="1:9" ht="19.5" customHeight="1">
      <c r="A184" s="25"/>
      <c r="B184" s="27"/>
      <c r="C184" s="27">
        <v>1311</v>
      </c>
      <c r="D184" s="697"/>
      <c r="E184" s="715"/>
      <c r="F184" s="269"/>
      <c r="G184" s="270"/>
      <c r="H184" s="709"/>
      <c r="I184" s="313"/>
    </row>
    <row r="185" spans="1:9" ht="33" customHeight="1">
      <c r="A185" s="25"/>
      <c r="B185" s="27"/>
      <c r="C185" s="33" t="s">
        <v>603</v>
      </c>
      <c r="D185" s="706">
        <f>'(지출-등록금회계)'!D555</f>
        <v>0</v>
      </c>
      <c r="E185" s="706">
        <f>'(지출-비등록금회계)'!D474</f>
        <v>0</v>
      </c>
      <c r="F185" s="273">
        <v>0</v>
      </c>
      <c r="G185" s="268">
        <f>D185+E185-F185</f>
        <v>0</v>
      </c>
      <c r="H185" s="657">
        <v>0</v>
      </c>
      <c r="I185" s="312">
        <f>G185-H185</f>
        <v>0</v>
      </c>
    </row>
    <row r="186" spans="1:9" ht="22.5" customHeight="1">
      <c r="A186" s="25"/>
      <c r="B186" s="27"/>
      <c r="C186" s="27">
        <v>1312</v>
      </c>
      <c r="D186" s="697"/>
      <c r="E186" s="715"/>
      <c r="F186" s="269"/>
      <c r="G186" s="270" t="s">
        <v>511</v>
      </c>
      <c r="H186" s="709" t="s">
        <v>76</v>
      </c>
      <c r="I186" s="313"/>
    </row>
    <row r="187" spans="1:9" ht="32.25" customHeight="1">
      <c r="A187" s="25"/>
      <c r="B187" s="27"/>
      <c r="C187" s="353" t="s">
        <v>604</v>
      </c>
      <c r="D187" s="714">
        <f>'(지출-등록금회계)'!D558</f>
        <v>0</v>
      </c>
      <c r="E187" s="714">
        <f>'(지출-비등록금회계)'!D477</f>
        <v>0</v>
      </c>
      <c r="F187" s="349">
        <v>0</v>
      </c>
      <c r="G187" s="346">
        <f>D187+E187-F187</f>
        <v>0</v>
      </c>
      <c r="H187" s="705">
        <v>0</v>
      </c>
      <c r="I187" s="348">
        <f>G187-H187</f>
        <v>0</v>
      </c>
    </row>
    <row r="188" spans="1:9" ht="30" customHeight="1">
      <c r="A188" s="25"/>
      <c r="B188" s="27"/>
      <c r="C188" s="27">
        <v>1313</v>
      </c>
      <c r="D188" s="697"/>
      <c r="E188" s="715"/>
      <c r="F188" s="269"/>
      <c r="G188" s="270"/>
      <c r="H188" s="709"/>
      <c r="I188" s="313"/>
    </row>
    <row r="189" spans="1:9" ht="30" customHeight="1">
      <c r="A189" s="25"/>
      <c r="B189" s="27"/>
      <c r="C189" s="33" t="s">
        <v>605</v>
      </c>
      <c r="D189" s="706">
        <f>'(지출-등록금회계)'!D560</f>
        <v>0</v>
      </c>
      <c r="E189" s="706">
        <v>0</v>
      </c>
      <c r="F189" s="273">
        <v>0</v>
      </c>
      <c r="G189" s="268">
        <f>D189+E189-F189</f>
        <v>0</v>
      </c>
      <c r="H189" s="657">
        <v>0</v>
      </c>
      <c r="I189" s="312">
        <f>G189-H189</f>
        <v>0</v>
      </c>
    </row>
    <row r="190" spans="1:9" ht="25.5" customHeight="1">
      <c r="A190" s="25"/>
      <c r="B190" s="27"/>
      <c r="C190" s="28">
        <v>1314</v>
      </c>
      <c r="D190" s="702"/>
      <c r="E190" s="725"/>
      <c r="F190" s="271"/>
      <c r="G190" s="272"/>
      <c r="H190" s="740"/>
      <c r="I190" s="314"/>
    </row>
    <row r="191" spans="1:9" ht="30" customHeight="1">
      <c r="A191" s="25"/>
      <c r="B191" s="27"/>
      <c r="C191" s="33" t="s">
        <v>606</v>
      </c>
      <c r="D191" s="706">
        <v>759925</v>
      </c>
      <c r="E191" s="706">
        <v>41600</v>
      </c>
      <c r="F191" s="273">
        <v>0</v>
      </c>
      <c r="G191" s="268">
        <f>D191+E191-F191</f>
        <v>801525</v>
      </c>
      <c r="H191" s="657">
        <v>1000000</v>
      </c>
      <c r="I191" s="312">
        <f>G191-H191</f>
        <v>-198475</v>
      </c>
    </row>
    <row r="192" spans="1:9" ht="21" customHeight="1">
      <c r="A192" s="25"/>
      <c r="B192" s="27"/>
      <c r="C192" s="27">
        <v>1315</v>
      </c>
      <c r="D192" s="697"/>
      <c r="E192" s="715"/>
      <c r="F192" s="269"/>
      <c r="G192" s="270"/>
      <c r="H192" s="709"/>
      <c r="I192" s="313"/>
    </row>
    <row r="193" spans="1:9" ht="30" customHeight="1">
      <c r="A193" s="25"/>
      <c r="B193" s="27"/>
      <c r="C193" s="33" t="s">
        <v>607</v>
      </c>
      <c r="D193" s="706">
        <f>10772+17500</f>
        <v>28272</v>
      </c>
      <c r="E193" s="706">
        <v>220</v>
      </c>
      <c r="F193" s="273">
        <v>0</v>
      </c>
      <c r="G193" s="268">
        <f>D193+E193-F193</f>
        <v>28492</v>
      </c>
      <c r="H193" s="657">
        <v>120000</v>
      </c>
      <c r="I193" s="312">
        <f>G193-H193</f>
        <v>-91508</v>
      </c>
    </row>
    <row r="194" spans="1:9" ht="30" customHeight="1">
      <c r="A194" s="25"/>
      <c r="B194" s="27"/>
      <c r="C194" s="27">
        <v>1316</v>
      </c>
      <c r="D194" s="697"/>
      <c r="E194" s="715"/>
      <c r="F194" s="269"/>
      <c r="G194" s="270"/>
      <c r="H194" s="709"/>
      <c r="I194" s="313"/>
    </row>
    <row r="195" spans="1:9" ht="30" customHeight="1">
      <c r="A195" s="25"/>
      <c r="B195" s="27"/>
      <c r="C195" s="33" t="s">
        <v>608</v>
      </c>
      <c r="D195" s="717">
        <f>'(지출-등록금회계)'!D578</f>
        <v>0</v>
      </c>
      <c r="E195" s="726">
        <f>'(지출-비등록금회계)'!D504</f>
        <v>0</v>
      </c>
      <c r="F195" s="279">
        <v>0</v>
      </c>
      <c r="G195" s="268">
        <f>D195+E195-F195</f>
        <v>0</v>
      </c>
      <c r="H195" s="657">
        <v>15000</v>
      </c>
      <c r="I195" s="312">
        <f>G195-H195</f>
        <v>-15000</v>
      </c>
    </row>
    <row r="196" spans="1:9" ht="25.5" customHeight="1">
      <c r="A196" s="25"/>
      <c r="B196" s="27"/>
      <c r="C196" s="27">
        <v>1317</v>
      </c>
      <c r="D196" s="697"/>
      <c r="E196" s="715"/>
      <c r="F196" s="269"/>
      <c r="G196" s="270"/>
      <c r="H196" s="709"/>
      <c r="I196" s="313"/>
    </row>
    <row r="197" spans="1:9" ht="23.25" customHeight="1">
      <c r="A197" s="25"/>
      <c r="B197" s="27"/>
      <c r="C197" s="27" t="s">
        <v>609</v>
      </c>
      <c r="D197" s="715">
        <v>630320</v>
      </c>
      <c r="E197" s="715">
        <f>'(지출-비등록금회계)'!D506</f>
        <v>0</v>
      </c>
      <c r="F197" s="269">
        <v>0</v>
      </c>
      <c r="G197" s="268">
        <f>D197+E197-F197</f>
        <v>630320</v>
      </c>
      <c r="H197" s="709">
        <v>618000</v>
      </c>
      <c r="I197" s="313">
        <f>G197-H197</f>
        <v>12320</v>
      </c>
    </row>
    <row r="198" spans="1:9" ht="26.25" customHeight="1">
      <c r="A198" s="25"/>
      <c r="B198" s="27"/>
      <c r="C198" s="28">
        <v>1318</v>
      </c>
      <c r="D198" s="702"/>
      <c r="E198" s="725"/>
      <c r="F198" s="271"/>
      <c r="G198" s="272"/>
      <c r="H198" s="740"/>
      <c r="I198" s="314"/>
    </row>
    <row r="199" spans="1:9" ht="30" customHeight="1">
      <c r="A199" s="25"/>
      <c r="B199" s="27"/>
      <c r="C199" s="32" t="s">
        <v>610</v>
      </c>
      <c r="D199" s="719">
        <f>'(지출-등록금회계)'!D591</f>
        <v>0</v>
      </c>
      <c r="E199" s="728">
        <f>'(지출-비등록금회계)'!D517</f>
        <v>0</v>
      </c>
      <c r="F199" s="282">
        <v>0</v>
      </c>
      <c r="G199" s="268">
        <f>D199+E199-F199</f>
        <v>0</v>
      </c>
      <c r="H199" s="709">
        <v>0</v>
      </c>
      <c r="I199" s="312">
        <f>G199-H199</f>
        <v>0</v>
      </c>
    </row>
    <row r="200" spans="1:9" ht="22.5" customHeight="1">
      <c r="A200" s="25"/>
      <c r="B200" s="27"/>
      <c r="C200" s="28">
        <v>1319</v>
      </c>
      <c r="D200" s="702"/>
      <c r="E200" s="725"/>
      <c r="F200" s="271"/>
      <c r="G200" s="272"/>
      <c r="H200" s="740"/>
      <c r="I200" s="314"/>
    </row>
    <row r="201" spans="1:9" ht="23.25" customHeight="1">
      <c r="A201" s="25"/>
      <c r="B201" s="24"/>
      <c r="C201" s="24" t="s">
        <v>611</v>
      </c>
      <c r="D201" s="706">
        <f>'(지출-등록금회계)'!D593</f>
        <v>0</v>
      </c>
      <c r="E201" s="706">
        <f>18712731+512170</f>
        <v>19224901</v>
      </c>
      <c r="F201" s="273">
        <v>0</v>
      </c>
      <c r="G201" s="268">
        <f>D201+E201-F201</f>
        <v>19224901</v>
      </c>
      <c r="H201" s="657">
        <v>15000000</v>
      </c>
      <c r="I201" s="312">
        <f>G201-H201</f>
        <v>4224901</v>
      </c>
    </row>
    <row r="202" spans="1:9" ht="19.5" customHeight="1">
      <c r="A202" s="25"/>
      <c r="B202" s="27">
        <v>1320</v>
      </c>
      <c r="C202" s="27"/>
      <c r="D202" s="697"/>
      <c r="E202" s="715"/>
      <c r="F202" s="269"/>
      <c r="G202" s="270"/>
      <c r="H202" s="709"/>
      <c r="I202" s="313"/>
    </row>
    <row r="203" spans="1:9" ht="30" customHeight="1">
      <c r="A203" s="25"/>
      <c r="B203" s="32" t="s">
        <v>612</v>
      </c>
      <c r="C203" s="345"/>
      <c r="D203" s="705">
        <f>D205</f>
        <v>0</v>
      </c>
      <c r="E203" s="714">
        <f>E205</f>
        <v>0</v>
      </c>
      <c r="F203" s="347">
        <f>F205</f>
        <v>0</v>
      </c>
      <c r="G203" s="346">
        <f>D203+E203-F203</f>
        <v>0</v>
      </c>
      <c r="H203" s="705">
        <f>H205</f>
        <v>0</v>
      </c>
      <c r="I203" s="348">
        <f>G203-H203</f>
        <v>0</v>
      </c>
    </row>
    <row r="204" spans="1:9" ht="17.25" customHeight="1">
      <c r="A204" s="25"/>
      <c r="B204" s="27"/>
      <c r="C204" s="32">
        <v>1321</v>
      </c>
      <c r="D204" s="719"/>
      <c r="E204" s="728"/>
      <c r="F204" s="282"/>
      <c r="G204" s="270"/>
      <c r="H204" s="709"/>
      <c r="I204" s="313"/>
    </row>
    <row r="205" spans="1:9" ht="33.75" customHeight="1">
      <c r="A205" s="952"/>
      <c r="B205" s="949"/>
      <c r="C205" s="951" t="s">
        <v>613</v>
      </c>
      <c r="D205" s="1104">
        <v>0</v>
      </c>
      <c r="E205" s="1105">
        <f>'(지출-비등록금회계)'!D529</f>
        <v>0</v>
      </c>
      <c r="F205" s="1106">
        <v>0</v>
      </c>
      <c r="G205" s="1102">
        <f>D205+E205-F205</f>
        <v>0</v>
      </c>
      <c r="H205" s="657">
        <v>0</v>
      </c>
      <c r="I205" s="1103">
        <f>G205-H205</f>
        <v>0</v>
      </c>
    </row>
    <row r="206" spans="1:9" ht="25.5" customHeight="1">
      <c r="A206" s="25">
        <v>2200</v>
      </c>
      <c r="B206" s="27"/>
      <c r="C206" s="27"/>
      <c r="D206" s="697"/>
      <c r="E206" s="715"/>
      <c r="F206" s="269"/>
      <c r="G206" s="270"/>
      <c r="H206" s="709"/>
      <c r="I206" s="313"/>
    </row>
    <row r="207" spans="1:9" ht="30.75" customHeight="1">
      <c r="A207" s="42" t="s">
        <v>614</v>
      </c>
      <c r="B207" s="27"/>
      <c r="C207" s="27"/>
      <c r="D207" s="709">
        <f>SUM(D213,D209)</f>
        <v>0</v>
      </c>
      <c r="E207" s="715">
        <f>SUM(E213,E209)</f>
        <v>105415</v>
      </c>
      <c r="F207" s="278">
        <f>SUM(F213,F209)</f>
        <v>0</v>
      </c>
      <c r="G207" s="268">
        <f>D207+E207-F207</f>
        <v>105415</v>
      </c>
      <c r="H207" s="709">
        <f>SUM(H213,H209)</f>
        <v>92000</v>
      </c>
      <c r="I207" s="312">
        <f>G207-H207</f>
        <v>13415</v>
      </c>
    </row>
    <row r="208" spans="1:9" ht="27" customHeight="1">
      <c r="A208" s="25"/>
      <c r="B208" s="28">
        <v>2210</v>
      </c>
      <c r="C208" s="28"/>
      <c r="D208" s="702"/>
      <c r="E208" s="725"/>
      <c r="F208" s="271"/>
      <c r="G208" s="272"/>
      <c r="H208" s="740"/>
      <c r="I208" s="314"/>
    </row>
    <row r="209" spans="1:9" ht="30" customHeight="1">
      <c r="A209" s="25"/>
      <c r="B209" s="27" t="s">
        <v>615</v>
      </c>
      <c r="C209" s="24"/>
      <c r="D209" s="720"/>
      <c r="E209" s="706"/>
      <c r="F209" s="273"/>
      <c r="G209" s="268">
        <f>G211</f>
        <v>0</v>
      </c>
      <c r="H209" s="657">
        <f>H211</f>
        <v>0</v>
      </c>
      <c r="I209" s="312">
        <f>G209-H209</f>
        <v>0</v>
      </c>
    </row>
    <row r="210" spans="1:9" ht="19.5" customHeight="1">
      <c r="A210" s="25"/>
      <c r="B210" s="27"/>
      <c r="C210" s="28">
        <v>2211</v>
      </c>
      <c r="D210" s="702"/>
      <c r="E210" s="725"/>
      <c r="F210" s="271"/>
      <c r="G210" s="272"/>
      <c r="H210" s="740"/>
      <c r="I210" s="314"/>
    </row>
    <row r="211" spans="1:9" ht="37.5" customHeight="1">
      <c r="A211" s="25"/>
      <c r="B211" s="36"/>
      <c r="C211" s="27" t="s">
        <v>615</v>
      </c>
      <c r="D211" s="697">
        <f>'(지출-등록금회계)'!D604</f>
        <v>0</v>
      </c>
      <c r="E211" s="715">
        <f>'(지출-비등록금회계)'!D535</f>
        <v>0</v>
      </c>
      <c r="F211" s="269"/>
      <c r="G211" s="270">
        <v>0</v>
      </c>
      <c r="H211" s="709">
        <v>0</v>
      </c>
      <c r="I211" s="312">
        <f>G211-H211</f>
        <v>0</v>
      </c>
    </row>
    <row r="212" spans="1:9" ht="22.5" customHeight="1">
      <c r="A212" s="25"/>
      <c r="B212" s="28">
        <v>2220</v>
      </c>
      <c r="C212" s="28"/>
      <c r="D212" s="702"/>
      <c r="E212" s="725"/>
      <c r="F212" s="271"/>
      <c r="G212" s="272"/>
      <c r="H212" s="740"/>
      <c r="I212" s="314"/>
    </row>
    <row r="213" spans="1:9" ht="34.5" customHeight="1">
      <c r="A213" s="25"/>
      <c r="B213" s="32" t="s">
        <v>616</v>
      </c>
      <c r="C213" s="24"/>
      <c r="D213" s="657">
        <f>SUM(D215)</f>
        <v>0</v>
      </c>
      <c r="E213" s="706">
        <f>SUM(E215)</f>
        <v>105415</v>
      </c>
      <c r="F213" s="267">
        <f>SUM(F215)</f>
        <v>0</v>
      </c>
      <c r="G213" s="268">
        <f>D213+E213-F213</f>
        <v>105415</v>
      </c>
      <c r="H213" s="657">
        <f>SUM(H215)</f>
        <v>92000</v>
      </c>
      <c r="I213" s="312">
        <f>G213-H213</f>
        <v>13415</v>
      </c>
    </row>
    <row r="214" spans="1:9" ht="24.75" customHeight="1">
      <c r="A214" s="25"/>
      <c r="B214" s="27"/>
      <c r="C214" s="27">
        <v>2221</v>
      </c>
      <c r="D214" s="697"/>
      <c r="E214" s="715"/>
      <c r="F214" s="269"/>
      <c r="G214" s="270"/>
      <c r="H214" s="709"/>
      <c r="I214" s="313"/>
    </row>
    <row r="215" spans="1:9" ht="30.75" customHeight="1">
      <c r="A215" s="23"/>
      <c r="B215" s="24"/>
      <c r="C215" s="24" t="s">
        <v>617</v>
      </c>
      <c r="D215" s="706">
        <f>'(지출-등록금회계)'!D608</f>
        <v>0</v>
      </c>
      <c r="E215" s="706">
        <v>105415</v>
      </c>
      <c r="F215" s="273">
        <v>0</v>
      </c>
      <c r="G215" s="268">
        <f>D215+E215-F215</f>
        <v>105415</v>
      </c>
      <c r="H215" s="657">
        <v>92000</v>
      </c>
      <c r="I215" s="312">
        <f>G215-H215</f>
        <v>13415</v>
      </c>
    </row>
    <row r="216" spans="1:9" ht="57.75" customHeight="1">
      <c r="A216" s="1111" t="s">
        <v>618</v>
      </c>
      <c r="B216" s="1112" t="s">
        <v>619</v>
      </c>
      <c r="C216" s="1113"/>
      <c r="D216" s="1117">
        <v>6697317</v>
      </c>
      <c r="E216" s="1117">
        <f>17409878</f>
        <v>17409878</v>
      </c>
      <c r="F216" s="1118">
        <v>0</v>
      </c>
      <c r="G216" s="1119">
        <f>D216+E216-F216+1</f>
        <v>24107196</v>
      </c>
      <c r="H216" s="1117">
        <v>16311236</v>
      </c>
      <c r="I216" s="1120">
        <f>G216-H216</f>
        <v>7795960</v>
      </c>
    </row>
    <row r="217" spans="1:9" ht="27.75" customHeight="1">
      <c r="A217" s="25"/>
      <c r="B217" s="27">
        <v>1100</v>
      </c>
      <c r="C217" s="27"/>
      <c r="D217" s="697"/>
      <c r="E217" s="715"/>
      <c r="F217" s="269"/>
      <c r="G217" s="270"/>
      <c r="H217" s="709"/>
      <c r="I217" s="313"/>
    </row>
    <row r="218" spans="1:9" ht="30" customHeight="1">
      <c r="A218" s="25"/>
      <c r="B218" s="951" t="s">
        <v>620</v>
      </c>
      <c r="C218" s="949"/>
      <c r="D218" s="1100">
        <f>D220+D222</f>
        <v>6697317</v>
      </c>
      <c r="E218" s="1100">
        <f>E220+E222</f>
        <v>17409878</v>
      </c>
      <c r="F218" s="1101">
        <f>F220+F222</f>
        <v>0</v>
      </c>
      <c r="G218" s="1102">
        <f>D218+E218-F218</f>
        <v>24107195</v>
      </c>
      <c r="H218" s="657">
        <f>H220+H222</f>
        <v>22489246</v>
      </c>
      <c r="I218" s="1103">
        <f>G218-H218</f>
        <v>1617949</v>
      </c>
    </row>
    <row r="219" spans="1:9" ht="30" customHeight="1">
      <c r="A219" s="25"/>
      <c r="B219" s="27"/>
      <c r="C219" s="27">
        <v>1110</v>
      </c>
      <c r="D219" s="697"/>
      <c r="E219" s="715"/>
      <c r="F219" s="269"/>
      <c r="G219" s="270"/>
      <c r="H219" s="709"/>
      <c r="I219" s="313"/>
    </row>
    <row r="220" spans="1:9" ht="30" customHeight="1">
      <c r="A220" s="25"/>
      <c r="B220" s="27"/>
      <c r="C220" s="24" t="s">
        <v>621</v>
      </c>
      <c r="D220" s="701">
        <f>D216</f>
        <v>6697317</v>
      </c>
      <c r="E220" s="701">
        <f>E216</f>
        <v>17409878</v>
      </c>
      <c r="F220" s="273">
        <v>0</v>
      </c>
      <c r="G220" s="268">
        <f>D220+E220-F220</f>
        <v>24107195</v>
      </c>
      <c r="H220" s="657">
        <v>22489246</v>
      </c>
      <c r="I220" s="312">
        <f>G220-H220</f>
        <v>1617949</v>
      </c>
    </row>
    <row r="221" spans="1:9" ht="23.25" customHeight="1">
      <c r="A221" s="25"/>
      <c r="B221" s="27"/>
      <c r="C221" s="27">
        <v>1120</v>
      </c>
      <c r="D221" s="697"/>
      <c r="E221" s="715"/>
      <c r="F221" s="269"/>
      <c r="G221" s="270"/>
      <c r="H221" s="709"/>
      <c r="I221" s="313"/>
    </row>
    <row r="222" spans="1:9" ht="30" customHeight="1">
      <c r="A222" s="25"/>
      <c r="B222" s="27"/>
      <c r="C222" s="32" t="s">
        <v>512</v>
      </c>
      <c r="D222" s="697"/>
      <c r="E222" s="715"/>
      <c r="F222" s="269"/>
      <c r="G222" s="268">
        <f>D222+E222-F222</f>
        <v>0</v>
      </c>
      <c r="H222" s="709">
        <v>0</v>
      </c>
      <c r="I222" s="312">
        <f>G222-H222</f>
        <v>0</v>
      </c>
    </row>
    <row r="223" spans="1:9" ht="30" customHeight="1">
      <c r="A223" s="25"/>
      <c r="B223" s="28">
        <v>2100</v>
      </c>
      <c r="C223" s="28"/>
      <c r="D223" s="702"/>
      <c r="E223" s="725"/>
      <c r="F223" s="271"/>
      <c r="G223" s="272"/>
      <c r="H223" s="740"/>
      <c r="I223" s="314"/>
    </row>
    <row r="224" spans="1:9" ht="30" customHeight="1">
      <c r="A224" s="25"/>
      <c r="B224" s="32" t="s">
        <v>622</v>
      </c>
      <c r="C224" s="24"/>
      <c r="D224" s="657">
        <f>D226+D228+D230</f>
        <v>0</v>
      </c>
      <c r="E224" s="706">
        <f>E226+E228+E230</f>
        <v>0</v>
      </c>
      <c r="F224" s="267">
        <f>F226+F228+F230</f>
        <v>0</v>
      </c>
      <c r="G224" s="268">
        <f>D224+E224-F224</f>
        <v>0</v>
      </c>
      <c r="H224" s="657">
        <f>H226+H228+H230</f>
        <v>0</v>
      </c>
      <c r="I224" s="312">
        <f>G224-H224</f>
        <v>0</v>
      </c>
    </row>
    <row r="225" spans="1:9" ht="21" customHeight="1">
      <c r="A225" s="25"/>
      <c r="B225" s="27"/>
      <c r="C225" s="27">
        <v>2120</v>
      </c>
      <c r="D225" s="697"/>
      <c r="E225" s="715"/>
      <c r="F225" s="269"/>
      <c r="G225" s="270"/>
      <c r="H225" s="709"/>
      <c r="I225" s="313"/>
    </row>
    <row r="226" spans="1:9" ht="27" customHeight="1">
      <c r="A226" s="25"/>
      <c r="B226" s="27"/>
      <c r="C226" s="27" t="s">
        <v>514</v>
      </c>
      <c r="D226" s="697"/>
      <c r="E226" s="715"/>
      <c r="F226" s="269"/>
      <c r="G226" s="268">
        <f>D226+E226-F226</f>
        <v>0</v>
      </c>
      <c r="H226" s="709">
        <v>0</v>
      </c>
      <c r="I226" s="312">
        <f>G226-H226</f>
        <v>0</v>
      </c>
    </row>
    <row r="227" spans="1:9" ht="27" customHeight="1">
      <c r="A227" s="25"/>
      <c r="B227" s="27"/>
      <c r="C227" s="28">
        <v>2130</v>
      </c>
      <c r="D227" s="702"/>
      <c r="E227" s="725"/>
      <c r="F227" s="271"/>
      <c r="G227" s="272"/>
      <c r="H227" s="740"/>
      <c r="I227" s="314"/>
    </row>
    <row r="228" spans="1:9" ht="21" customHeight="1">
      <c r="A228" s="25"/>
      <c r="B228" s="27"/>
      <c r="C228" s="24" t="s">
        <v>515</v>
      </c>
      <c r="D228" s="720"/>
      <c r="E228" s="706"/>
      <c r="F228" s="273"/>
      <c r="G228" s="268">
        <f>D228+E228-F228</f>
        <v>0</v>
      </c>
      <c r="H228" s="657">
        <v>0</v>
      </c>
      <c r="I228" s="312">
        <f>G228-H228</f>
        <v>0</v>
      </c>
    </row>
    <row r="229" spans="1:9" ht="26.25" customHeight="1">
      <c r="A229" s="25"/>
      <c r="B229" s="27"/>
      <c r="C229" s="27">
        <v>2140</v>
      </c>
      <c r="D229" s="697"/>
      <c r="E229" s="715"/>
      <c r="F229" s="269"/>
      <c r="G229" s="270"/>
      <c r="H229" s="709"/>
      <c r="I229" s="313"/>
    </row>
    <row r="230" spans="1:9" ht="38.25" customHeight="1">
      <c r="A230" s="29"/>
      <c r="B230" s="30"/>
      <c r="C230" s="124" t="s">
        <v>623</v>
      </c>
      <c r="D230" s="721"/>
      <c r="E230" s="713"/>
      <c r="F230" s="274"/>
      <c r="G230" s="275">
        <f>D230+E230-F230</f>
        <v>0</v>
      </c>
      <c r="H230" s="703">
        <v>0</v>
      </c>
      <c r="I230" s="315">
        <f>H230-G230</f>
        <v>0</v>
      </c>
    </row>
    <row r="231" spans="8:9" ht="20.25" customHeight="1">
      <c r="H231" s="374"/>
      <c r="I231" s="319"/>
    </row>
    <row r="232" spans="8:9" ht="20.25" customHeight="1">
      <c r="H232" s="374"/>
      <c r="I232" s="319"/>
    </row>
    <row r="233" spans="8:9" ht="20.25" customHeight="1">
      <c r="H233" s="374"/>
      <c r="I233" s="319"/>
    </row>
    <row r="234" spans="8:9" ht="20.25" customHeight="1">
      <c r="H234" s="374"/>
      <c r="I234" s="319"/>
    </row>
    <row r="235" spans="8:9" ht="20.25" customHeight="1">
      <c r="H235" s="374"/>
      <c r="I235" s="319"/>
    </row>
    <row r="236" spans="8:9" ht="20.25" customHeight="1">
      <c r="H236" s="374"/>
      <c r="I236" s="319"/>
    </row>
    <row r="237" spans="8:9" ht="20.25" customHeight="1">
      <c r="H237" s="374"/>
      <c r="I237" s="319"/>
    </row>
    <row r="238" spans="8:9" ht="20.25" customHeight="1">
      <c r="H238" s="374"/>
      <c r="I238" s="319"/>
    </row>
    <row r="239" spans="8:9" ht="20.25" customHeight="1">
      <c r="H239" s="374"/>
      <c r="I239" s="319"/>
    </row>
    <row r="240" spans="8:9" ht="20.25" customHeight="1">
      <c r="H240" s="374"/>
      <c r="I240" s="319"/>
    </row>
    <row r="241" spans="8:9" ht="20.25" customHeight="1">
      <c r="H241" s="374"/>
      <c r="I241" s="319"/>
    </row>
    <row r="242" spans="8:9" ht="20.25" customHeight="1">
      <c r="H242" s="374"/>
      <c r="I242" s="319"/>
    </row>
    <row r="243" ht="20.25" customHeight="1"/>
    <row r="244" ht="20.25" customHeight="1"/>
    <row r="245" spans="1:9" ht="20.25" customHeight="1">
      <c r="A245" s="1"/>
      <c r="B245" s="1"/>
      <c r="C245" s="1"/>
      <c r="D245" s="640"/>
      <c r="E245" s="640"/>
      <c r="F245" s="1"/>
      <c r="G245" s="1"/>
      <c r="H245" s="640"/>
      <c r="I245" s="107"/>
    </row>
    <row r="246" spans="1:9" ht="20.25" customHeight="1">
      <c r="A246" s="1"/>
      <c r="B246" s="1"/>
      <c r="C246" s="1"/>
      <c r="D246" s="640"/>
      <c r="E246" s="640"/>
      <c r="F246" s="1"/>
      <c r="G246" s="1"/>
      <c r="H246" s="640"/>
      <c r="I246" s="107"/>
    </row>
    <row r="247" spans="1:9" ht="20.25" customHeight="1">
      <c r="A247" s="1"/>
      <c r="B247" s="1"/>
      <c r="C247" s="1"/>
      <c r="D247" s="640"/>
      <c r="E247" s="640"/>
      <c r="F247" s="1"/>
      <c r="G247" s="1"/>
      <c r="H247" s="640"/>
      <c r="I247" s="107"/>
    </row>
    <row r="248" spans="1:9" ht="20.25" customHeight="1">
      <c r="A248" s="1"/>
      <c r="B248" s="1"/>
      <c r="C248" s="1"/>
      <c r="D248" s="640"/>
      <c r="E248" s="640"/>
      <c r="F248" s="1"/>
      <c r="G248" s="1"/>
      <c r="H248" s="640"/>
      <c r="I248" s="107"/>
    </row>
    <row r="249" spans="1:9" ht="20.25" customHeight="1">
      <c r="A249" s="1"/>
      <c r="B249" s="1"/>
      <c r="C249" s="1"/>
      <c r="D249" s="640"/>
      <c r="E249" s="640"/>
      <c r="F249" s="1"/>
      <c r="G249" s="1"/>
      <c r="H249" s="640"/>
      <c r="I249" s="107"/>
    </row>
    <row r="250" spans="1:9" ht="20.25" customHeight="1">
      <c r="A250" s="1"/>
      <c r="B250" s="1"/>
      <c r="C250" s="1"/>
      <c r="D250" s="640"/>
      <c r="E250" s="640"/>
      <c r="F250" s="1"/>
      <c r="G250" s="1"/>
      <c r="H250" s="640"/>
      <c r="I250" s="107"/>
    </row>
    <row r="251" spans="1:9" ht="20.25" customHeight="1">
      <c r="A251" s="1"/>
      <c r="B251" s="1"/>
      <c r="C251" s="1"/>
      <c r="D251" s="640"/>
      <c r="E251" s="640"/>
      <c r="F251" s="1"/>
      <c r="G251" s="1"/>
      <c r="H251" s="640"/>
      <c r="I251" s="107"/>
    </row>
    <row r="252" spans="1:9" ht="20.25" customHeight="1">
      <c r="A252" s="1"/>
      <c r="B252" s="1"/>
      <c r="C252" s="1"/>
      <c r="D252" s="640"/>
      <c r="E252" s="640"/>
      <c r="F252" s="1"/>
      <c r="G252" s="1"/>
      <c r="H252" s="640"/>
      <c r="I252" s="107"/>
    </row>
    <row r="253" spans="1:9" ht="20.25" customHeight="1">
      <c r="A253" s="1"/>
      <c r="B253" s="1"/>
      <c r="C253" s="1"/>
      <c r="D253" s="640"/>
      <c r="E253" s="640"/>
      <c r="F253" s="1"/>
      <c r="G253" s="1"/>
      <c r="H253" s="640"/>
      <c r="I253" s="107"/>
    </row>
    <row r="254" spans="1:9" ht="20.25" customHeight="1">
      <c r="A254" s="1"/>
      <c r="B254" s="1"/>
      <c r="C254" s="1"/>
      <c r="D254" s="640"/>
      <c r="E254" s="640"/>
      <c r="F254" s="1"/>
      <c r="G254" s="1"/>
      <c r="H254" s="640"/>
      <c r="I254" s="107"/>
    </row>
    <row r="255" spans="1:9" ht="20.25" customHeight="1">
      <c r="A255" s="1"/>
      <c r="B255" s="1"/>
      <c r="C255" s="1"/>
      <c r="D255" s="640"/>
      <c r="E255" s="640"/>
      <c r="F255" s="1"/>
      <c r="G255" s="1"/>
      <c r="H255" s="640"/>
      <c r="I255" s="107"/>
    </row>
    <row r="256" spans="1:9" ht="20.25" customHeight="1">
      <c r="A256" s="1"/>
      <c r="B256" s="1"/>
      <c r="C256" s="1"/>
      <c r="D256" s="640"/>
      <c r="E256" s="640"/>
      <c r="F256" s="1"/>
      <c r="G256" s="1"/>
      <c r="H256" s="640"/>
      <c r="I256" s="107"/>
    </row>
    <row r="257" spans="1:9" ht="20.25" customHeight="1">
      <c r="A257" s="1"/>
      <c r="B257" s="1"/>
      <c r="C257" s="1"/>
      <c r="D257" s="640"/>
      <c r="E257" s="640"/>
      <c r="F257" s="1"/>
      <c r="G257" s="1"/>
      <c r="H257" s="640"/>
      <c r="I257" s="107"/>
    </row>
    <row r="258" spans="1:9" ht="20.25" customHeight="1">
      <c r="A258" s="1"/>
      <c r="B258" s="1"/>
      <c r="C258" s="1"/>
      <c r="D258" s="640"/>
      <c r="E258" s="640"/>
      <c r="F258" s="1"/>
      <c r="G258" s="1"/>
      <c r="H258" s="640"/>
      <c r="I258" s="107"/>
    </row>
    <row r="259" spans="1:9" ht="20.25" customHeight="1">
      <c r="A259" s="1"/>
      <c r="B259" s="1"/>
      <c r="C259" s="1"/>
      <c r="D259" s="640"/>
      <c r="E259" s="640"/>
      <c r="F259" s="1"/>
      <c r="G259" s="1"/>
      <c r="H259" s="640"/>
      <c r="I259" s="107"/>
    </row>
    <row r="260" spans="1:9" ht="20.25" customHeight="1">
      <c r="A260" s="1"/>
      <c r="B260" s="1"/>
      <c r="C260" s="1"/>
      <c r="D260" s="640"/>
      <c r="E260" s="640"/>
      <c r="F260" s="1"/>
      <c r="G260" s="1"/>
      <c r="H260" s="640"/>
      <c r="I260" s="107"/>
    </row>
    <row r="261" spans="1:9" ht="20.25" customHeight="1">
      <c r="A261" s="1"/>
      <c r="B261" s="1"/>
      <c r="C261" s="1"/>
      <c r="D261" s="640"/>
      <c r="E261" s="640"/>
      <c r="F261" s="1"/>
      <c r="G261" s="1"/>
      <c r="H261" s="640"/>
      <c r="I261" s="107"/>
    </row>
    <row r="262" spans="1:9" ht="20.25" customHeight="1">
      <c r="A262" s="1"/>
      <c r="B262" s="1"/>
      <c r="C262" s="1"/>
      <c r="D262" s="640"/>
      <c r="E262" s="640"/>
      <c r="F262" s="1"/>
      <c r="G262" s="1"/>
      <c r="H262" s="640"/>
      <c r="I262" s="107"/>
    </row>
    <row r="263" spans="1:9" ht="20.25" customHeight="1">
      <c r="A263" s="1"/>
      <c r="B263" s="1"/>
      <c r="C263" s="1"/>
      <c r="D263" s="640"/>
      <c r="E263" s="640"/>
      <c r="F263" s="1"/>
      <c r="G263" s="1"/>
      <c r="H263" s="640"/>
      <c r="I263" s="107"/>
    </row>
    <row r="264" spans="1:9" ht="20.25" customHeight="1">
      <c r="A264" s="1"/>
      <c r="B264" s="1"/>
      <c r="C264" s="1"/>
      <c r="D264" s="640"/>
      <c r="E264" s="640"/>
      <c r="F264" s="1"/>
      <c r="G264" s="1"/>
      <c r="H264" s="640"/>
      <c r="I264" s="107"/>
    </row>
    <row r="265" spans="1:9" ht="20.25" customHeight="1">
      <c r="A265" s="1"/>
      <c r="B265" s="1"/>
      <c r="C265" s="1"/>
      <c r="D265" s="640"/>
      <c r="E265" s="640"/>
      <c r="F265" s="1"/>
      <c r="G265" s="1"/>
      <c r="H265" s="640"/>
      <c r="I265" s="107"/>
    </row>
    <row r="266" spans="1:9" ht="20.25" customHeight="1">
      <c r="A266" s="1"/>
      <c r="B266" s="1"/>
      <c r="C266" s="1"/>
      <c r="D266" s="640"/>
      <c r="E266" s="640"/>
      <c r="F266" s="1"/>
      <c r="G266" s="1"/>
      <c r="H266" s="640"/>
      <c r="I266" s="107"/>
    </row>
    <row r="267" spans="1:9" ht="20.25" customHeight="1">
      <c r="A267" s="1"/>
      <c r="B267" s="1"/>
      <c r="C267" s="1"/>
      <c r="D267" s="640"/>
      <c r="E267" s="640"/>
      <c r="F267" s="1"/>
      <c r="G267" s="1"/>
      <c r="H267" s="640"/>
      <c r="I267" s="107"/>
    </row>
    <row r="268" spans="1:9" ht="20.25" customHeight="1">
      <c r="A268" s="1"/>
      <c r="B268" s="1"/>
      <c r="C268" s="1"/>
      <c r="D268" s="640"/>
      <c r="E268" s="640"/>
      <c r="F268" s="1"/>
      <c r="G268" s="1"/>
      <c r="H268" s="640"/>
      <c r="I268" s="107"/>
    </row>
    <row r="269" spans="1:9" ht="20.25" customHeight="1">
      <c r="A269" s="1"/>
      <c r="B269" s="1"/>
      <c r="C269" s="1"/>
      <c r="D269" s="640"/>
      <c r="E269" s="640"/>
      <c r="F269" s="1"/>
      <c r="G269" s="1"/>
      <c r="H269" s="640"/>
      <c r="I269" s="107"/>
    </row>
    <row r="270" spans="1:9" ht="20.25" customHeight="1">
      <c r="A270" s="1"/>
      <c r="B270" s="1"/>
      <c r="C270" s="1"/>
      <c r="D270" s="640"/>
      <c r="E270" s="640"/>
      <c r="F270" s="1"/>
      <c r="G270" s="1"/>
      <c r="H270" s="640"/>
      <c r="I270" s="107"/>
    </row>
    <row r="271" spans="1:9" ht="20.25" customHeight="1">
      <c r="A271" s="1"/>
      <c r="B271" s="1"/>
      <c r="C271" s="1"/>
      <c r="D271" s="640"/>
      <c r="E271" s="640"/>
      <c r="F271" s="1"/>
      <c r="G271" s="1"/>
      <c r="H271" s="640"/>
      <c r="I271" s="107"/>
    </row>
    <row r="272" spans="1:9" ht="20.25" customHeight="1">
      <c r="A272" s="1"/>
      <c r="B272" s="1"/>
      <c r="C272" s="1"/>
      <c r="D272" s="640"/>
      <c r="E272" s="640"/>
      <c r="F272" s="1"/>
      <c r="G272" s="1"/>
      <c r="H272" s="640"/>
      <c r="I272" s="107"/>
    </row>
    <row r="273" spans="1:9" ht="20.25" customHeight="1">
      <c r="A273" s="1"/>
      <c r="B273" s="1"/>
      <c r="C273" s="1"/>
      <c r="D273" s="640"/>
      <c r="E273" s="640"/>
      <c r="F273" s="1"/>
      <c r="G273" s="1"/>
      <c r="H273" s="640"/>
      <c r="I273" s="107"/>
    </row>
    <row r="274" spans="1:9" ht="20.25" customHeight="1">
      <c r="A274" s="1"/>
      <c r="B274" s="1"/>
      <c r="C274" s="1"/>
      <c r="D274" s="640"/>
      <c r="E274" s="640"/>
      <c r="F274" s="1"/>
      <c r="G274" s="1"/>
      <c r="H274" s="640"/>
      <c r="I274" s="107"/>
    </row>
    <row r="275" spans="1:9" ht="20.25" customHeight="1">
      <c r="A275" s="1"/>
      <c r="B275" s="1"/>
      <c r="C275" s="1"/>
      <c r="D275" s="640"/>
      <c r="E275" s="640"/>
      <c r="F275" s="1"/>
      <c r="G275" s="1"/>
      <c r="H275" s="640"/>
      <c r="I275" s="107"/>
    </row>
    <row r="276" spans="1:9" ht="20.25" customHeight="1">
      <c r="A276" s="1"/>
      <c r="B276" s="1"/>
      <c r="C276" s="1"/>
      <c r="D276" s="640"/>
      <c r="E276" s="640"/>
      <c r="F276" s="1"/>
      <c r="G276" s="1"/>
      <c r="H276" s="640"/>
      <c r="I276" s="107"/>
    </row>
    <row r="277" spans="1:9" ht="20.25" customHeight="1">
      <c r="A277" s="1"/>
      <c r="B277" s="1"/>
      <c r="C277" s="1"/>
      <c r="D277" s="640"/>
      <c r="E277" s="640"/>
      <c r="F277" s="1"/>
      <c r="G277" s="1"/>
      <c r="H277" s="640"/>
      <c r="I277" s="107"/>
    </row>
    <row r="278" spans="1:9" ht="20.25" customHeight="1">
      <c r="A278" s="1"/>
      <c r="B278" s="1"/>
      <c r="C278" s="1"/>
      <c r="D278" s="640"/>
      <c r="E278" s="640"/>
      <c r="F278" s="1"/>
      <c r="G278" s="1"/>
      <c r="H278" s="640"/>
      <c r="I278" s="107"/>
    </row>
    <row r="279" spans="1:9" ht="20.25" customHeight="1">
      <c r="A279" s="1"/>
      <c r="B279" s="1"/>
      <c r="C279" s="1"/>
      <c r="D279" s="640"/>
      <c r="E279" s="640"/>
      <c r="F279" s="1"/>
      <c r="G279" s="1"/>
      <c r="H279" s="640"/>
      <c r="I279" s="107"/>
    </row>
    <row r="280" spans="1:9" ht="20.25" customHeight="1">
      <c r="A280" s="1"/>
      <c r="B280" s="1"/>
      <c r="C280" s="1"/>
      <c r="D280" s="640"/>
      <c r="E280" s="640"/>
      <c r="F280" s="1"/>
      <c r="G280" s="1"/>
      <c r="H280" s="640"/>
      <c r="I280" s="107"/>
    </row>
    <row r="281" spans="1:9" ht="20.25" customHeight="1">
      <c r="A281" s="1"/>
      <c r="B281" s="1"/>
      <c r="C281" s="1"/>
      <c r="D281" s="640"/>
      <c r="E281" s="640"/>
      <c r="F281" s="1"/>
      <c r="G281" s="1"/>
      <c r="H281" s="640"/>
      <c r="I281" s="107"/>
    </row>
    <row r="282" spans="1:9" ht="20.25" customHeight="1">
      <c r="A282" s="1"/>
      <c r="B282" s="1"/>
      <c r="C282" s="1"/>
      <c r="D282" s="640"/>
      <c r="E282" s="640"/>
      <c r="F282" s="1"/>
      <c r="G282" s="1"/>
      <c r="H282" s="640"/>
      <c r="I282" s="107"/>
    </row>
    <row r="283" spans="1:9" ht="20.25" customHeight="1">
      <c r="A283" s="1"/>
      <c r="B283" s="1"/>
      <c r="C283" s="1"/>
      <c r="D283" s="640"/>
      <c r="E283" s="640"/>
      <c r="F283" s="1"/>
      <c r="G283" s="1"/>
      <c r="H283" s="640"/>
      <c r="I283" s="107"/>
    </row>
    <row r="284" spans="1:9" ht="20.25" customHeight="1">
      <c r="A284" s="1"/>
      <c r="B284" s="1"/>
      <c r="C284" s="1"/>
      <c r="D284" s="640"/>
      <c r="E284" s="640"/>
      <c r="F284" s="1"/>
      <c r="G284" s="1"/>
      <c r="H284" s="640"/>
      <c r="I284" s="107"/>
    </row>
    <row r="285" spans="1:9" ht="20.25" customHeight="1">
      <c r="A285" s="1"/>
      <c r="B285" s="1"/>
      <c r="C285" s="1"/>
      <c r="D285" s="640"/>
      <c r="E285" s="640"/>
      <c r="F285" s="1"/>
      <c r="G285" s="1"/>
      <c r="H285" s="640"/>
      <c r="I285" s="107"/>
    </row>
    <row r="286" spans="1:9" ht="20.25" customHeight="1">
      <c r="A286" s="1"/>
      <c r="B286" s="1"/>
      <c r="C286" s="1"/>
      <c r="D286" s="640"/>
      <c r="E286" s="640"/>
      <c r="F286" s="1"/>
      <c r="G286" s="1"/>
      <c r="H286" s="640"/>
      <c r="I286" s="107"/>
    </row>
    <row r="287" spans="1:9" ht="20.25" customHeight="1">
      <c r="A287" s="1"/>
      <c r="B287" s="1"/>
      <c r="C287" s="1"/>
      <c r="D287" s="640"/>
      <c r="E287" s="640"/>
      <c r="F287" s="1"/>
      <c r="G287" s="1"/>
      <c r="H287" s="640"/>
      <c r="I287" s="107"/>
    </row>
    <row r="288" spans="1:9" ht="20.25" customHeight="1">
      <c r="A288" s="1"/>
      <c r="B288" s="1"/>
      <c r="C288" s="1"/>
      <c r="D288" s="640"/>
      <c r="E288" s="640"/>
      <c r="F288" s="1"/>
      <c r="G288" s="1"/>
      <c r="H288" s="640"/>
      <c r="I288" s="107"/>
    </row>
    <row r="289" spans="1:9" ht="20.25" customHeight="1">
      <c r="A289" s="1"/>
      <c r="B289" s="1"/>
      <c r="C289" s="1"/>
      <c r="D289" s="640"/>
      <c r="E289" s="640"/>
      <c r="F289" s="1"/>
      <c r="G289" s="1"/>
      <c r="H289" s="640"/>
      <c r="I289" s="107"/>
    </row>
    <row r="290" spans="1:9" ht="20.25" customHeight="1">
      <c r="A290" s="1"/>
      <c r="B290" s="1"/>
      <c r="C290" s="1"/>
      <c r="D290" s="640"/>
      <c r="E290" s="640"/>
      <c r="F290" s="1"/>
      <c r="G290" s="1"/>
      <c r="H290" s="640"/>
      <c r="I290" s="107"/>
    </row>
    <row r="291" spans="1:9" ht="20.25" customHeight="1">
      <c r="A291" s="1"/>
      <c r="B291" s="1"/>
      <c r="C291" s="1"/>
      <c r="D291" s="640"/>
      <c r="E291" s="640"/>
      <c r="F291" s="1"/>
      <c r="G291" s="1"/>
      <c r="H291" s="640"/>
      <c r="I291" s="107"/>
    </row>
    <row r="292" spans="1:9" ht="20.25" customHeight="1">
      <c r="A292" s="1"/>
      <c r="B292" s="1"/>
      <c r="C292" s="1"/>
      <c r="D292" s="640"/>
      <c r="E292" s="640"/>
      <c r="F292" s="1"/>
      <c r="G292" s="1"/>
      <c r="H292" s="640"/>
      <c r="I292" s="107"/>
    </row>
    <row r="293" spans="1:9" ht="20.25" customHeight="1">
      <c r="A293" s="1"/>
      <c r="B293" s="1"/>
      <c r="C293" s="1"/>
      <c r="D293" s="640"/>
      <c r="E293" s="640"/>
      <c r="F293" s="1"/>
      <c r="G293" s="1"/>
      <c r="H293" s="640"/>
      <c r="I293" s="107"/>
    </row>
    <row r="294" spans="1:9" ht="20.25" customHeight="1">
      <c r="A294" s="1"/>
      <c r="B294" s="1"/>
      <c r="C294" s="1"/>
      <c r="D294" s="640"/>
      <c r="E294" s="640"/>
      <c r="F294" s="1"/>
      <c r="G294" s="1"/>
      <c r="H294" s="640"/>
      <c r="I294" s="107"/>
    </row>
    <row r="295" spans="1:9" ht="20.25" customHeight="1">
      <c r="A295" s="1"/>
      <c r="B295" s="1"/>
      <c r="C295" s="1"/>
      <c r="D295" s="640"/>
      <c r="E295" s="640"/>
      <c r="F295" s="1"/>
      <c r="G295" s="1"/>
      <c r="H295" s="640"/>
      <c r="I295" s="107"/>
    </row>
    <row r="296" spans="1:9" ht="20.25" customHeight="1">
      <c r="A296" s="1"/>
      <c r="B296" s="1"/>
      <c r="C296" s="1"/>
      <c r="D296" s="640"/>
      <c r="E296" s="640"/>
      <c r="F296" s="1"/>
      <c r="G296" s="1"/>
      <c r="H296" s="640"/>
      <c r="I296" s="107"/>
    </row>
    <row r="297" spans="1:9" ht="20.25" customHeight="1">
      <c r="A297" s="1"/>
      <c r="B297" s="1"/>
      <c r="C297" s="1"/>
      <c r="D297" s="640"/>
      <c r="E297" s="640"/>
      <c r="F297" s="1"/>
      <c r="G297" s="1"/>
      <c r="H297" s="640"/>
      <c r="I297" s="107"/>
    </row>
    <row r="298" spans="1:9" ht="20.25" customHeight="1">
      <c r="A298" s="1"/>
      <c r="B298" s="1"/>
      <c r="C298" s="1"/>
      <c r="D298" s="640"/>
      <c r="E298" s="640"/>
      <c r="F298" s="1"/>
      <c r="G298" s="1"/>
      <c r="H298" s="640"/>
      <c r="I298" s="107"/>
    </row>
    <row r="299" spans="1:9" ht="20.25" customHeight="1">
      <c r="A299" s="1"/>
      <c r="B299" s="1"/>
      <c r="C299" s="1"/>
      <c r="D299" s="640"/>
      <c r="E299" s="640"/>
      <c r="F299" s="1"/>
      <c r="G299" s="1"/>
      <c r="H299" s="640"/>
      <c r="I299" s="107"/>
    </row>
    <row r="300" spans="1:9" ht="20.25" customHeight="1">
      <c r="A300" s="1"/>
      <c r="B300" s="1"/>
      <c r="C300" s="1"/>
      <c r="D300" s="640"/>
      <c r="E300" s="640"/>
      <c r="F300" s="1"/>
      <c r="G300" s="1"/>
      <c r="H300" s="640"/>
      <c r="I300" s="107"/>
    </row>
    <row r="301" spans="1:9" ht="20.25" customHeight="1">
      <c r="A301" s="1"/>
      <c r="B301" s="1"/>
      <c r="C301" s="1"/>
      <c r="D301" s="640"/>
      <c r="E301" s="640"/>
      <c r="F301" s="1"/>
      <c r="G301" s="1"/>
      <c r="H301" s="640"/>
      <c r="I301" s="107"/>
    </row>
    <row r="302" spans="1:9" ht="20.25" customHeight="1">
      <c r="A302" s="1"/>
      <c r="B302" s="1"/>
      <c r="C302" s="1"/>
      <c r="D302" s="640"/>
      <c r="E302" s="640"/>
      <c r="F302" s="1"/>
      <c r="G302" s="1"/>
      <c r="H302" s="640"/>
      <c r="I302" s="107"/>
    </row>
    <row r="303" spans="1:9" ht="20.25" customHeight="1">
      <c r="A303" s="1"/>
      <c r="B303" s="1"/>
      <c r="C303" s="1"/>
      <c r="D303" s="640"/>
      <c r="E303" s="640"/>
      <c r="F303" s="1"/>
      <c r="G303" s="1"/>
      <c r="H303" s="640"/>
      <c r="I303" s="107"/>
    </row>
    <row r="304" spans="1:9" ht="20.25" customHeight="1">
      <c r="A304" s="1"/>
      <c r="B304" s="1"/>
      <c r="C304" s="1"/>
      <c r="D304" s="640"/>
      <c r="E304" s="640"/>
      <c r="F304" s="1"/>
      <c r="G304" s="1"/>
      <c r="H304" s="640"/>
      <c r="I304" s="107"/>
    </row>
    <row r="305" spans="1:9" ht="20.25" customHeight="1">
      <c r="A305" s="1"/>
      <c r="B305" s="1"/>
      <c r="C305" s="1"/>
      <c r="D305" s="640"/>
      <c r="E305" s="640"/>
      <c r="F305" s="1"/>
      <c r="G305" s="1"/>
      <c r="H305" s="640"/>
      <c r="I305" s="107"/>
    </row>
    <row r="306" spans="1:9" ht="20.25" customHeight="1">
      <c r="A306" s="1"/>
      <c r="B306" s="1"/>
      <c r="C306" s="1"/>
      <c r="D306" s="640"/>
      <c r="E306" s="640"/>
      <c r="F306" s="1"/>
      <c r="G306" s="1"/>
      <c r="H306" s="640"/>
      <c r="I306" s="107"/>
    </row>
    <row r="307" spans="1:9" ht="20.25" customHeight="1">
      <c r="A307" s="1"/>
      <c r="B307" s="1"/>
      <c r="C307" s="1"/>
      <c r="D307" s="640"/>
      <c r="E307" s="640"/>
      <c r="F307" s="1"/>
      <c r="G307" s="1"/>
      <c r="H307" s="640"/>
      <c r="I307" s="107"/>
    </row>
    <row r="308" spans="1:9" ht="20.25" customHeight="1">
      <c r="A308" s="1"/>
      <c r="B308" s="1"/>
      <c r="C308" s="1"/>
      <c r="D308" s="640"/>
      <c r="E308" s="640"/>
      <c r="F308" s="1"/>
      <c r="G308" s="1"/>
      <c r="H308" s="640"/>
      <c r="I308" s="107"/>
    </row>
    <row r="309" spans="1:9" ht="20.25" customHeight="1">
      <c r="A309" s="1"/>
      <c r="B309" s="1"/>
      <c r="C309" s="1"/>
      <c r="D309" s="640"/>
      <c r="E309" s="640"/>
      <c r="F309" s="1"/>
      <c r="G309" s="1"/>
      <c r="H309" s="640"/>
      <c r="I309" s="107"/>
    </row>
    <row r="310" spans="1:9" ht="20.25" customHeight="1">
      <c r="A310" s="1"/>
      <c r="B310" s="1"/>
      <c r="C310" s="1"/>
      <c r="D310" s="640"/>
      <c r="E310" s="640"/>
      <c r="F310" s="1"/>
      <c r="G310" s="1"/>
      <c r="H310" s="640"/>
      <c r="I310" s="107"/>
    </row>
    <row r="311" spans="1:9" ht="20.25" customHeight="1">
      <c r="A311" s="1"/>
      <c r="B311" s="1"/>
      <c r="C311" s="1"/>
      <c r="D311" s="640"/>
      <c r="E311" s="640"/>
      <c r="F311" s="1"/>
      <c r="G311" s="1"/>
      <c r="H311" s="640"/>
      <c r="I311" s="107"/>
    </row>
    <row r="312" spans="1:9" ht="20.25" customHeight="1">
      <c r="A312" s="1"/>
      <c r="B312" s="1"/>
      <c r="C312" s="1"/>
      <c r="D312" s="640"/>
      <c r="E312" s="640"/>
      <c r="F312" s="1"/>
      <c r="G312" s="1"/>
      <c r="H312" s="640"/>
      <c r="I312" s="107"/>
    </row>
    <row r="313" spans="1:9" ht="20.25" customHeight="1">
      <c r="A313" s="1"/>
      <c r="B313" s="1"/>
      <c r="C313" s="1"/>
      <c r="D313" s="640"/>
      <c r="E313" s="640"/>
      <c r="F313" s="1"/>
      <c r="G313" s="1"/>
      <c r="H313" s="640"/>
      <c r="I313" s="107"/>
    </row>
    <row r="314" spans="1:9" ht="20.25" customHeight="1">
      <c r="A314" s="1"/>
      <c r="B314" s="1"/>
      <c r="C314" s="1"/>
      <c r="D314" s="640"/>
      <c r="E314" s="640"/>
      <c r="F314" s="1"/>
      <c r="G314" s="1"/>
      <c r="H314" s="640"/>
      <c r="I314" s="107"/>
    </row>
    <row r="315" spans="1:9" ht="20.25" customHeight="1">
      <c r="A315" s="1"/>
      <c r="B315" s="1"/>
      <c r="C315" s="1"/>
      <c r="D315" s="640"/>
      <c r="E315" s="640"/>
      <c r="F315" s="1"/>
      <c r="G315" s="1"/>
      <c r="H315" s="640"/>
      <c r="I315" s="107"/>
    </row>
    <row r="316" spans="1:9" ht="20.25" customHeight="1">
      <c r="A316" s="1"/>
      <c r="B316" s="1"/>
      <c r="C316" s="1"/>
      <c r="D316" s="640"/>
      <c r="E316" s="640"/>
      <c r="F316" s="1"/>
      <c r="G316" s="1"/>
      <c r="H316" s="640"/>
      <c r="I316" s="107"/>
    </row>
    <row r="317" spans="1:9" ht="20.25" customHeight="1">
      <c r="A317" s="1"/>
      <c r="B317" s="1"/>
      <c r="C317" s="1"/>
      <c r="D317" s="640"/>
      <c r="E317" s="640"/>
      <c r="F317" s="1"/>
      <c r="G317" s="1"/>
      <c r="H317" s="640"/>
      <c r="I317" s="107"/>
    </row>
    <row r="318" spans="1:9" ht="20.25" customHeight="1">
      <c r="A318" s="1"/>
      <c r="B318" s="1"/>
      <c r="C318" s="1"/>
      <c r="D318" s="640"/>
      <c r="E318" s="640"/>
      <c r="F318" s="1"/>
      <c r="G318" s="1"/>
      <c r="H318" s="640"/>
      <c r="I318" s="107"/>
    </row>
    <row r="319" spans="1:9" ht="20.25" customHeight="1">
      <c r="A319" s="1"/>
      <c r="B319" s="1"/>
      <c r="C319" s="1"/>
      <c r="D319" s="640"/>
      <c r="E319" s="640"/>
      <c r="F319" s="1"/>
      <c r="G319" s="1"/>
      <c r="H319" s="640"/>
      <c r="I319" s="107"/>
    </row>
    <row r="320" spans="1:9" ht="20.25" customHeight="1">
      <c r="A320" s="1"/>
      <c r="B320" s="1"/>
      <c r="C320" s="1"/>
      <c r="D320" s="640"/>
      <c r="E320" s="640"/>
      <c r="F320" s="1"/>
      <c r="G320" s="1"/>
      <c r="H320" s="640"/>
      <c r="I320" s="107"/>
    </row>
    <row r="321" spans="1:9" ht="20.25" customHeight="1">
      <c r="A321" s="1"/>
      <c r="B321" s="1"/>
      <c r="C321" s="1"/>
      <c r="D321" s="640"/>
      <c r="E321" s="640"/>
      <c r="F321" s="1"/>
      <c r="G321" s="1"/>
      <c r="H321" s="640"/>
      <c r="I321" s="107"/>
    </row>
    <row r="322" spans="1:9" ht="20.25" customHeight="1">
      <c r="A322" s="1"/>
      <c r="B322" s="1"/>
      <c r="C322" s="1"/>
      <c r="D322" s="640"/>
      <c r="E322" s="640"/>
      <c r="F322" s="1"/>
      <c r="G322" s="1"/>
      <c r="H322" s="640"/>
      <c r="I322" s="107"/>
    </row>
    <row r="323" spans="1:9" ht="20.25" customHeight="1">
      <c r="A323" s="1"/>
      <c r="B323" s="1"/>
      <c r="C323" s="1"/>
      <c r="D323" s="640"/>
      <c r="E323" s="640"/>
      <c r="F323" s="1"/>
      <c r="G323" s="1"/>
      <c r="H323" s="640"/>
      <c r="I323" s="107"/>
    </row>
    <row r="324" spans="1:9" ht="20.25" customHeight="1">
      <c r="A324" s="1"/>
      <c r="B324" s="1"/>
      <c r="C324" s="1"/>
      <c r="D324" s="640"/>
      <c r="E324" s="640"/>
      <c r="F324" s="1"/>
      <c r="G324" s="1"/>
      <c r="H324" s="640"/>
      <c r="I324" s="107"/>
    </row>
    <row r="325" spans="1:9" ht="20.25" customHeight="1">
      <c r="A325" s="1"/>
      <c r="B325" s="1"/>
      <c r="C325" s="1"/>
      <c r="D325" s="640"/>
      <c r="E325" s="640"/>
      <c r="F325" s="1"/>
      <c r="G325" s="1"/>
      <c r="H325" s="640"/>
      <c r="I325" s="107"/>
    </row>
    <row r="326" spans="1:9" ht="20.25" customHeight="1">
      <c r="A326" s="1"/>
      <c r="B326" s="1"/>
      <c r="C326" s="1"/>
      <c r="D326" s="640"/>
      <c r="E326" s="640"/>
      <c r="F326" s="1"/>
      <c r="G326" s="1"/>
      <c r="H326" s="640"/>
      <c r="I326" s="107"/>
    </row>
    <row r="327" spans="1:9" ht="20.25" customHeight="1">
      <c r="A327" s="1"/>
      <c r="B327" s="1"/>
      <c r="C327" s="1"/>
      <c r="D327" s="640"/>
      <c r="E327" s="640"/>
      <c r="F327" s="1"/>
      <c r="G327" s="1"/>
      <c r="H327" s="640"/>
      <c r="I327" s="107"/>
    </row>
    <row r="328" spans="1:9" ht="20.25" customHeight="1">
      <c r="A328" s="1"/>
      <c r="B328" s="1"/>
      <c r="C328" s="1"/>
      <c r="D328" s="640"/>
      <c r="E328" s="640"/>
      <c r="F328" s="1"/>
      <c r="G328" s="1"/>
      <c r="H328" s="640"/>
      <c r="I328" s="107"/>
    </row>
    <row r="329" spans="1:9" ht="20.25" customHeight="1">
      <c r="A329" s="1"/>
      <c r="B329" s="1"/>
      <c r="C329" s="1"/>
      <c r="D329" s="640"/>
      <c r="E329" s="640"/>
      <c r="F329" s="1"/>
      <c r="G329" s="1"/>
      <c r="H329" s="640"/>
      <c r="I329" s="107"/>
    </row>
    <row r="330" spans="1:9" ht="20.25" customHeight="1">
      <c r="A330" s="1"/>
      <c r="B330" s="1"/>
      <c r="C330" s="1"/>
      <c r="D330" s="640"/>
      <c r="E330" s="640"/>
      <c r="F330" s="1"/>
      <c r="G330" s="1"/>
      <c r="H330" s="640"/>
      <c r="I330" s="107"/>
    </row>
    <row r="331" spans="1:9" ht="20.25" customHeight="1">
      <c r="A331" s="1"/>
      <c r="B331" s="1"/>
      <c r="C331" s="1"/>
      <c r="D331" s="640"/>
      <c r="E331" s="640"/>
      <c r="F331" s="1"/>
      <c r="G331" s="1"/>
      <c r="H331" s="640"/>
      <c r="I331" s="107"/>
    </row>
    <row r="332" spans="1:9" ht="20.25" customHeight="1">
      <c r="A332" s="1"/>
      <c r="B332" s="1"/>
      <c r="C332" s="1"/>
      <c r="D332" s="640"/>
      <c r="E332" s="640"/>
      <c r="F332" s="1"/>
      <c r="G332" s="1"/>
      <c r="H332" s="640"/>
      <c r="I332" s="107"/>
    </row>
    <row r="333" spans="1:9" ht="20.25" customHeight="1">
      <c r="A333" s="1"/>
      <c r="B333" s="1"/>
      <c r="C333" s="1"/>
      <c r="D333" s="640"/>
      <c r="E333" s="640"/>
      <c r="F333" s="1"/>
      <c r="G333" s="1"/>
      <c r="H333" s="640"/>
      <c r="I333" s="107"/>
    </row>
    <row r="334" spans="1:9" ht="20.25" customHeight="1">
      <c r="A334" s="1"/>
      <c r="B334" s="1"/>
      <c r="C334" s="1"/>
      <c r="D334" s="640"/>
      <c r="E334" s="640"/>
      <c r="F334" s="1"/>
      <c r="G334" s="1"/>
      <c r="H334" s="640"/>
      <c r="I334" s="107"/>
    </row>
    <row r="335" spans="1:9" ht="20.25" customHeight="1">
      <c r="A335" s="1"/>
      <c r="B335" s="1"/>
      <c r="C335" s="1"/>
      <c r="D335" s="640"/>
      <c r="E335" s="640"/>
      <c r="F335" s="1"/>
      <c r="G335" s="1"/>
      <c r="H335" s="640"/>
      <c r="I335" s="107"/>
    </row>
    <row r="336" spans="1:9" ht="20.25" customHeight="1">
      <c r="A336" s="1"/>
      <c r="B336" s="1"/>
      <c r="C336" s="1"/>
      <c r="D336" s="640"/>
      <c r="E336" s="640"/>
      <c r="F336" s="1"/>
      <c r="G336" s="1"/>
      <c r="H336" s="640"/>
      <c r="I336" s="107"/>
    </row>
    <row r="337" spans="1:9" ht="20.25" customHeight="1">
      <c r="A337" s="1"/>
      <c r="B337" s="1"/>
      <c r="C337" s="1"/>
      <c r="D337" s="640"/>
      <c r="E337" s="640"/>
      <c r="F337" s="1"/>
      <c r="G337" s="1"/>
      <c r="H337" s="640"/>
      <c r="I337" s="107"/>
    </row>
    <row r="338" spans="1:9" ht="20.25" customHeight="1">
      <c r="A338" s="1"/>
      <c r="B338" s="1"/>
      <c r="C338" s="1"/>
      <c r="D338" s="640"/>
      <c r="E338" s="640"/>
      <c r="F338" s="1"/>
      <c r="G338" s="1"/>
      <c r="H338" s="640"/>
      <c r="I338" s="107"/>
    </row>
    <row r="339" spans="1:9" ht="20.25" customHeight="1">
      <c r="A339" s="1"/>
      <c r="B339" s="1"/>
      <c r="C339" s="1"/>
      <c r="D339" s="640"/>
      <c r="E339" s="640"/>
      <c r="F339" s="1"/>
      <c r="G339" s="1"/>
      <c r="H339" s="640"/>
      <c r="I339" s="107"/>
    </row>
    <row r="340" spans="1:9" ht="20.25" customHeight="1">
      <c r="A340" s="1"/>
      <c r="B340" s="1"/>
      <c r="C340" s="1"/>
      <c r="D340" s="640"/>
      <c r="E340" s="640"/>
      <c r="F340" s="1"/>
      <c r="G340" s="1"/>
      <c r="H340" s="640"/>
      <c r="I340" s="107"/>
    </row>
    <row r="341" spans="1:9" ht="20.25" customHeight="1">
      <c r="A341" s="1"/>
      <c r="B341" s="1"/>
      <c r="C341" s="1"/>
      <c r="D341" s="640"/>
      <c r="E341" s="640"/>
      <c r="F341" s="1"/>
      <c r="G341" s="1"/>
      <c r="H341" s="640"/>
      <c r="I341" s="107"/>
    </row>
    <row r="342" spans="1:9" ht="20.25" customHeight="1">
      <c r="A342" s="1"/>
      <c r="B342" s="1"/>
      <c r="C342" s="1"/>
      <c r="D342" s="640"/>
      <c r="E342" s="640"/>
      <c r="F342" s="1"/>
      <c r="G342" s="1"/>
      <c r="H342" s="640"/>
      <c r="I342" s="107"/>
    </row>
    <row r="343" spans="1:9" ht="20.25" customHeight="1">
      <c r="A343" s="1"/>
      <c r="B343" s="1"/>
      <c r="C343" s="1"/>
      <c r="D343" s="640"/>
      <c r="E343" s="640"/>
      <c r="F343" s="1"/>
      <c r="G343" s="1"/>
      <c r="H343" s="640"/>
      <c r="I343" s="107"/>
    </row>
    <row r="344" spans="1:9" ht="20.25" customHeight="1">
      <c r="A344" s="1"/>
      <c r="B344" s="1"/>
      <c r="C344" s="1"/>
      <c r="D344" s="640"/>
      <c r="E344" s="640"/>
      <c r="F344" s="1"/>
      <c r="G344" s="1"/>
      <c r="H344" s="640"/>
      <c r="I344" s="107"/>
    </row>
    <row r="345" spans="1:9" ht="20.25" customHeight="1">
      <c r="A345" s="1"/>
      <c r="B345" s="1"/>
      <c r="C345" s="1"/>
      <c r="D345" s="640"/>
      <c r="E345" s="640"/>
      <c r="F345" s="1"/>
      <c r="G345" s="1"/>
      <c r="H345" s="640"/>
      <c r="I345" s="107"/>
    </row>
    <row r="346" spans="1:9" ht="20.25" customHeight="1">
      <c r="A346" s="1"/>
      <c r="B346" s="1"/>
      <c r="C346" s="1"/>
      <c r="D346" s="640"/>
      <c r="E346" s="640"/>
      <c r="F346" s="1"/>
      <c r="G346" s="1"/>
      <c r="H346" s="640"/>
      <c r="I346" s="107"/>
    </row>
    <row r="347" spans="1:9" ht="20.25" customHeight="1">
      <c r="A347" s="1"/>
      <c r="B347" s="1"/>
      <c r="C347" s="1"/>
      <c r="D347" s="640"/>
      <c r="E347" s="640"/>
      <c r="F347" s="1"/>
      <c r="G347" s="1"/>
      <c r="H347" s="640"/>
      <c r="I347" s="107"/>
    </row>
    <row r="348" spans="1:9" ht="20.25" customHeight="1">
      <c r="A348" s="1"/>
      <c r="B348" s="1"/>
      <c r="C348" s="1"/>
      <c r="D348" s="640"/>
      <c r="E348" s="640"/>
      <c r="F348" s="1"/>
      <c r="G348" s="1"/>
      <c r="H348" s="640"/>
      <c r="I348" s="107"/>
    </row>
    <row r="349" spans="1:9" ht="20.25" customHeight="1">
      <c r="A349" s="1"/>
      <c r="B349" s="1"/>
      <c r="C349" s="1"/>
      <c r="D349" s="640"/>
      <c r="E349" s="640"/>
      <c r="F349" s="1"/>
      <c r="G349" s="1"/>
      <c r="H349" s="640"/>
      <c r="I349" s="107"/>
    </row>
    <row r="350" spans="1:9" ht="20.25" customHeight="1">
      <c r="A350" s="1"/>
      <c r="B350" s="1"/>
      <c r="C350" s="1"/>
      <c r="D350" s="640"/>
      <c r="E350" s="640"/>
      <c r="F350" s="1"/>
      <c r="G350" s="1"/>
      <c r="H350" s="640"/>
      <c r="I350" s="107"/>
    </row>
    <row r="351" spans="1:9" ht="20.25" customHeight="1">
      <c r="A351" s="1"/>
      <c r="B351" s="1"/>
      <c r="C351" s="1"/>
      <c r="D351" s="640"/>
      <c r="E351" s="640"/>
      <c r="F351" s="1"/>
      <c r="G351" s="1"/>
      <c r="H351" s="640"/>
      <c r="I351" s="107"/>
    </row>
    <row r="352" spans="1:9" ht="20.25" customHeight="1">
      <c r="A352" s="1"/>
      <c r="B352" s="1"/>
      <c r="C352" s="1"/>
      <c r="D352" s="640"/>
      <c r="E352" s="640"/>
      <c r="F352" s="1"/>
      <c r="G352" s="1"/>
      <c r="H352" s="640"/>
      <c r="I352" s="107"/>
    </row>
    <row r="353" spans="1:9" ht="20.25" customHeight="1">
      <c r="A353" s="1"/>
      <c r="B353" s="1"/>
      <c r="C353" s="1"/>
      <c r="D353" s="640"/>
      <c r="E353" s="640"/>
      <c r="F353" s="1"/>
      <c r="G353" s="1"/>
      <c r="H353" s="640"/>
      <c r="I353" s="107"/>
    </row>
    <row r="354" spans="1:9" ht="20.25" customHeight="1">
      <c r="A354" s="1"/>
      <c r="B354" s="1"/>
      <c r="C354" s="1"/>
      <c r="D354" s="640"/>
      <c r="E354" s="640"/>
      <c r="F354" s="1"/>
      <c r="G354" s="1"/>
      <c r="H354" s="640"/>
      <c r="I354" s="107"/>
    </row>
    <row r="355" spans="1:9" ht="20.25" customHeight="1">
      <c r="A355" s="1"/>
      <c r="B355" s="1"/>
      <c r="C355" s="1"/>
      <c r="D355" s="640"/>
      <c r="E355" s="640"/>
      <c r="F355" s="1"/>
      <c r="G355" s="1"/>
      <c r="H355" s="640"/>
      <c r="I355" s="107"/>
    </row>
    <row r="356" spans="1:9" ht="20.25" customHeight="1">
      <c r="A356" s="1"/>
      <c r="B356" s="1"/>
      <c r="C356" s="1"/>
      <c r="D356" s="640"/>
      <c r="E356" s="640"/>
      <c r="F356" s="1"/>
      <c r="G356" s="1"/>
      <c r="H356" s="640"/>
      <c r="I356" s="107"/>
    </row>
    <row r="357" spans="1:9" ht="20.25" customHeight="1">
      <c r="A357" s="1"/>
      <c r="B357" s="1"/>
      <c r="C357" s="1"/>
      <c r="D357" s="640"/>
      <c r="E357" s="640"/>
      <c r="F357" s="1"/>
      <c r="G357" s="1"/>
      <c r="H357" s="640"/>
      <c r="I357" s="107"/>
    </row>
    <row r="358" spans="1:9" ht="20.25" customHeight="1">
      <c r="A358" s="1"/>
      <c r="B358" s="1"/>
      <c r="C358" s="1"/>
      <c r="D358" s="640"/>
      <c r="E358" s="640"/>
      <c r="F358" s="1"/>
      <c r="G358" s="1"/>
      <c r="H358" s="640"/>
      <c r="I358" s="107"/>
    </row>
    <row r="359" spans="1:9" ht="20.25" customHeight="1">
      <c r="A359" s="1"/>
      <c r="B359" s="1"/>
      <c r="C359" s="1"/>
      <c r="D359" s="640"/>
      <c r="E359" s="640"/>
      <c r="F359" s="1"/>
      <c r="G359" s="1"/>
      <c r="H359" s="640"/>
      <c r="I359" s="107"/>
    </row>
    <row r="360" spans="1:9" ht="20.25" customHeight="1">
      <c r="A360" s="1"/>
      <c r="B360" s="1"/>
      <c r="C360" s="1"/>
      <c r="D360" s="640"/>
      <c r="E360" s="640"/>
      <c r="F360" s="1"/>
      <c r="G360" s="1"/>
      <c r="H360" s="640"/>
      <c r="I360" s="107"/>
    </row>
    <row r="361" spans="1:9" ht="20.25" customHeight="1">
      <c r="A361" s="1"/>
      <c r="B361" s="1"/>
      <c r="C361" s="1"/>
      <c r="D361" s="640"/>
      <c r="E361" s="640"/>
      <c r="F361" s="1"/>
      <c r="G361" s="1"/>
      <c r="H361" s="640"/>
      <c r="I361" s="107"/>
    </row>
    <row r="362" spans="1:9" ht="20.25" customHeight="1">
      <c r="A362" s="1"/>
      <c r="B362" s="1"/>
      <c r="C362" s="1"/>
      <c r="D362" s="640"/>
      <c r="E362" s="640"/>
      <c r="F362" s="1"/>
      <c r="G362" s="1"/>
      <c r="H362" s="640"/>
      <c r="I362" s="107"/>
    </row>
    <row r="363" spans="1:9" ht="20.25" customHeight="1">
      <c r="A363" s="1"/>
      <c r="B363" s="1"/>
      <c r="C363" s="1"/>
      <c r="D363" s="640"/>
      <c r="E363" s="640"/>
      <c r="F363" s="1"/>
      <c r="G363" s="1"/>
      <c r="H363" s="640"/>
      <c r="I363" s="107"/>
    </row>
    <row r="364" spans="1:9" ht="20.25" customHeight="1">
      <c r="A364" s="1"/>
      <c r="B364" s="1"/>
      <c r="C364" s="1"/>
      <c r="D364" s="640"/>
      <c r="E364" s="640"/>
      <c r="F364" s="1"/>
      <c r="G364" s="1"/>
      <c r="H364" s="640"/>
      <c r="I364" s="107"/>
    </row>
    <row r="365" spans="1:9" ht="20.25" customHeight="1">
      <c r="A365" s="1"/>
      <c r="B365" s="1"/>
      <c r="C365" s="1"/>
      <c r="D365" s="640"/>
      <c r="E365" s="640"/>
      <c r="F365" s="1"/>
      <c r="G365" s="1"/>
      <c r="H365" s="640"/>
      <c r="I365" s="107"/>
    </row>
    <row r="366" spans="1:9" ht="20.25" customHeight="1">
      <c r="A366" s="1"/>
      <c r="B366" s="1"/>
      <c r="C366" s="1"/>
      <c r="D366" s="640"/>
      <c r="E366" s="640"/>
      <c r="F366" s="1"/>
      <c r="G366" s="1"/>
      <c r="H366" s="640"/>
      <c r="I366" s="107"/>
    </row>
    <row r="367" spans="1:9" ht="20.25" customHeight="1">
      <c r="A367" s="1"/>
      <c r="B367" s="1"/>
      <c r="C367" s="1"/>
      <c r="D367" s="640"/>
      <c r="E367" s="640"/>
      <c r="F367" s="1"/>
      <c r="G367" s="1"/>
      <c r="H367" s="640"/>
      <c r="I367" s="107"/>
    </row>
    <row r="368" spans="1:9" ht="20.25" customHeight="1">
      <c r="A368" s="1"/>
      <c r="B368" s="1"/>
      <c r="C368" s="1"/>
      <c r="D368" s="640"/>
      <c r="E368" s="640"/>
      <c r="F368" s="1"/>
      <c r="G368" s="1"/>
      <c r="H368" s="640"/>
      <c r="I368" s="107"/>
    </row>
    <row r="369" spans="1:9" ht="20.25" customHeight="1">
      <c r="A369" s="1"/>
      <c r="B369" s="1"/>
      <c r="C369" s="1"/>
      <c r="D369" s="640"/>
      <c r="E369" s="640"/>
      <c r="F369" s="1"/>
      <c r="G369" s="1"/>
      <c r="H369" s="640"/>
      <c r="I369" s="107"/>
    </row>
    <row r="370" spans="1:9" ht="20.25" customHeight="1">
      <c r="A370" s="1"/>
      <c r="B370" s="1"/>
      <c r="C370" s="1"/>
      <c r="D370" s="640"/>
      <c r="E370" s="640"/>
      <c r="F370" s="1"/>
      <c r="G370" s="1"/>
      <c r="H370" s="640"/>
      <c r="I370" s="107"/>
    </row>
    <row r="371" spans="1:9" ht="20.25" customHeight="1">
      <c r="A371" s="1"/>
      <c r="B371" s="1"/>
      <c r="C371" s="1"/>
      <c r="D371" s="640"/>
      <c r="E371" s="640"/>
      <c r="F371" s="1"/>
      <c r="G371" s="1"/>
      <c r="H371" s="640"/>
      <c r="I371" s="107"/>
    </row>
    <row r="372" spans="1:9" ht="20.25" customHeight="1">
      <c r="A372" s="1"/>
      <c r="B372" s="1"/>
      <c r="C372" s="1"/>
      <c r="D372" s="640"/>
      <c r="E372" s="640"/>
      <c r="F372" s="1"/>
      <c r="G372" s="1"/>
      <c r="H372" s="640"/>
      <c r="I372" s="107"/>
    </row>
    <row r="373" spans="1:9" ht="20.25" customHeight="1">
      <c r="A373" s="1"/>
      <c r="B373" s="1"/>
      <c r="C373" s="1"/>
      <c r="D373" s="640"/>
      <c r="E373" s="640"/>
      <c r="F373" s="1"/>
      <c r="G373" s="1"/>
      <c r="H373" s="640"/>
      <c r="I373" s="107"/>
    </row>
    <row r="374" spans="1:9" ht="20.25" customHeight="1">
      <c r="A374" s="1"/>
      <c r="B374" s="1"/>
      <c r="C374" s="1"/>
      <c r="D374" s="640"/>
      <c r="E374" s="640"/>
      <c r="F374" s="1"/>
      <c r="G374" s="1"/>
      <c r="H374" s="640"/>
      <c r="I374" s="107"/>
    </row>
    <row r="375" spans="1:9" ht="20.25" customHeight="1">
      <c r="A375" s="1"/>
      <c r="B375" s="1"/>
      <c r="C375" s="1"/>
      <c r="D375" s="640"/>
      <c r="E375" s="640"/>
      <c r="F375" s="1"/>
      <c r="G375" s="1"/>
      <c r="H375" s="640"/>
      <c r="I375" s="107"/>
    </row>
    <row r="376" spans="1:9" ht="20.25" customHeight="1">
      <c r="A376" s="1"/>
      <c r="B376" s="1"/>
      <c r="C376" s="1"/>
      <c r="D376" s="640"/>
      <c r="E376" s="640"/>
      <c r="F376" s="1"/>
      <c r="G376" s="1"/>
      <c r="H376" s="640"/>
      <c r="I376" s="107"/>
    </row>
    <row r="377" spans="1:9" ht="20.25" customHeight="1">
      <c r="A377" s="1"/>
      <c r="B377" s="1"/>
      <c r="C377" s="1"/>
      <c r="D377" s="640"/>
      <c r="E377" s="640"/>
      <c r="F377" s="1"/>
      <c r="G377" s="1"/>
      <c r="H377" s="640"/>
      <c r="I377" s="107"/>
    </row>
    <row r="378" spans="1:9" ht="20.25" customHeight="1">
      <c r="A378" s="1"/>
      <c r="B378" s="1"/>
      <c r="C378" s="1"/>
      <c r="D378" s="640"/>
      <c r="E378" s="640"/>
      <c r="F378" s="1"/>
      <c r="G378" s="1"/>
      <c r="H378" s="640"/>
      <c r="I378" s="107"/>
    </row>
    <row r="379" spans="1:9" ht="20.25" customHeight="1">
      <c r="A379" s="1"/>
      <c r="B379" s="1"/>
      <c r="C379" s="1"/>
      <c r="D379" s="640"/>
      <c r="E379" s="640"/>
      <c r="F379" s="1"/>
      <c r="G379" s="1"/>
      <c r="H379" s="640"/>
      <c r="I379" s="107"/>
    </row>
    <row r="380" spans="1:9" ht="20.25" customHeight="1">
      <c r="A380" s="1"/>
      <c r="B380" s="1"/>
      <c r="C380" s="1"/>
      <c r="D380" s="640"/>
      <c r="E380" s="640"/>
      <c r="F380" s="1"/>
      <c r="G380" s="1"/>
      <c r="H380" s="640"/>
      <c r="I380" s="107"/>
    </row>
    <row r="381" spans="1:9" ht="20.25" customHeight="1">
      <c r="A381" s="1"/>
      <c r="B381" s="1"/>
      <c r="C381" s="1"/>
      <c r="D381" s="640"/>
      <c r="E381" s="640"/>
      <c r="F381" s="1"/>
      <c r="G381" s="1"/>
      <c r="H381" s="640"/>
      <c r="I381" s="107"/>
    </row>
    <row r="382" spans="1:9" ht="20.25" customHeight="1">
      <c r="A382" s="1"/>
      <c r="B382" s="1"/>
      <c r="C382" s="1"/>
      <c r="D382" s="640"/>
      <c r="E382" s="640"/>
      <c r="F382" s="1"/>
      <c r="G382" s="1"/>
      <c r="H382" s="640"/>
      <c r="I382" s="107"/>
    </row>
    <row r="383" spans="1:9" ht="20.25" customHeight="1">
      <c r="A383" s="1"/>
      <c r="B383" s="1"/>
      <c r="C383" s="1"/>
      <c r="D383" s="640"/>
      <c r="E383" s="640"/>
      <c r="F383" s="1"/>
      <c r="G383" s="1"/>
      <c r="H383" s="640"/>
      <c r="I383" s="107"/>
    </row>
    <row r="384" spans="1:9" ht="20.25" customHeight="1">
      <c r="A384" s="1"/>
      <c r="B384" s="1"/>
      <c r="C384" s="1"/>
      <c r="D384" s="640"/>
      <c r="E384" s="640"/>
      <c r="F384" s="1"/>
      <c r="G384" s="1"/>
      <c r="H384" s="640"/>
      <c r="I384" s="107"/>
    </row>
    <row r="385" spans="1:9" ht="20.25" customHeight="1">
      <c r="A385" s="1"/>
      <c r="B385" s="1"/>
      <c r="C385" s="1"/>
      <c r="D385" s="640"/>
      <c r="E385" s="640"/>
      <c r="F385" s="1"/>
      <c r="G385" s="1"/>
      <c r="H385" s="640"/>
      <c r="I385" s="107"/>
    </row>
    <row r="386" spans="1:9" ht="20.25" customHeight="1">
      <c r="A386" s="1"/>
      <c r="B386" s="1"/>
      <c r="C386" s="1"/>
      <c r="D386" s="640"/>
      <c r="E386" s="640"/>
      <c r="F386" s="1"/>
      <c r="G386" s="1"/>
      <c r="H386" s="640"/>
      <c r="I386" s="107"/>
    </row>
    <row r="387" spans="1:9" ht="20.25" customHeight="1">
      <c r="A387" s="1"/>
      <c r="B387" s="1"/>
      <c r="C387" s="1"/>
      <c r="D387" s="640"/>
      <c r="E387" s="640"/>
      <c r="F387" s="1"/>
      <c r="G387" s="1"/>
      <c r="H387" s="640"/>
      <c r="I387" s="107"/>
    </row>
    <row r="388" spans="1:9" ht="20.25" customHeight="1">
      <c r="A388" s="1"/>
      <c r="B388" s="1"/>
      <c r="C388" s="1"/>
      <c r="D388" s="640"/>
      <c r="E388" s="640"/>
      <c r="F388" s="1"/>
      <c r="G388" s="1"/>
      <c r="H388" s="640"/>
      <c r="I388" s="107"/>
    </row>
    <row r="389" spans="1:9" ht="20.25" customHeight="1">
      <c r="A389" s="1"/>
      <c r="B389" s="1"/>
      <c r="C389" s="1"/>
      <c r="D389" s="640"/>
      <c r="E389" s="640"/>
      <c r="F389" s="1"/>
      <c r="G389" s="1"/>
      <c r="H389" s="640"/>
      <c r="I389" s="107"/>
    </row>
    <row r="390" spans="1:9" ht="20.25" customHeight="1">
      <c r="A390" s="1"/>
      <c r="B390" s="1"/>
      <c r="C390" s="1"/>
      <c r="D390" s="640"/>
      <c r="E390" s="640"/>
      <c r="F390" s="1"/>
      <c r="G390" s="1"/>
      <c r="H390" s="640"/>
      <c r="I390" s="107"/>
    </row>
    <row r="391" spans="1:9" ht="20.25" customHeight="1">
      <c r="A391" s="1"/>
      <c r="B391" s="1"/>
      <c r="C391" s="1"/>
      <c r="D391" s="640"/>
      <c r="E391" s="640"/>
      <c r="F391" s="1"/>
      <c r="G391" s="1"/>
      <c r="H391" s="640"/>
      <c r="I391" s="107"/>
    </row>
    <row r="392" spans="1:9" ht="20.25" customHeight="1">
      <c r="A392" s="1"/>
      <c r="B392" s="1"/>
      <c r="C392" s="1"/>
      <c r="D392" s="640"/>
      <c r="E392" s="640"/>
      <c r="F392" s="1"/>
      <c r="G392" s="1"/>
      <c r="H392" s="640"/>
      <c r="I392" s="107"/>
    </row>
    <row r="393" spans="1:9" ht="20.25" customHeight="1">
      <c r="A393" s="1"/>
      <c r="B393" s="1"/>
      <c r="C393" s="1"/>
      <c r="D393" s="640"/>
      <c r="E393" s="640"/>
      <c r="F393" s="1"/>
      <c r="G393" s="1"/>
      <c r="H393" s="640"/>
      <c r="I393" s="107"/>
    </row>
    <row r="394" spans="1:9" ht="20.25" customHeight="1">
      <c r="A394" s="1"/>
      <c r="B394" s="1"/>
      <c r="C394" s="1"/>
      <c r="D394" s="640"/>
      <c r="E394" s="640"/>
      <c r="F394" s="1"/>
      <c r="G394" s="1"/>
      <c r="H394" s="640"/>
      <c r="I394" s="107"/>
    </row>
    <row r="395" spans="1:9" ht="20.25" customHeight="1">
      <c r="A395" s="1"/>
      <c r="B395" s="1"/>
      <c r="C395" s="1"/>
      <c r="D395" s="640"/>
      <c r="E395" s="640"/>
      <c r="F395" s="1"/>
      <c r="G395" s="1"/>
      <c r="H395" s="640"/>
      <c r="I395" s="107"/>
    </row>
    <row r="396" spans="1:9" ht="20.25" customHeight="1">
      <c r="A396" s="1"/>
      <c r="B396" s="1"/>
      <c r="C396" s="1"/>
      <c r="D396" s="640"/>
      <c r="E396" s="640"/>
      <c r="F396" s="1"/>
      <c r="G396" s="1"/>
      <c r="H396" s="640"/>
      <c r="I396" s="107"/>
    </row>
    <row r="397" spans="1:9" ht="20.25" customHeight="1">
      <c r="A397" s="1"/>
      <c r="B397" s="1"/>
      <c r="C397" s="1"/>
      <c r="D397" s="640"/>
      <c r="E397" s="640"/>
      <c r="F397" s="1"/>
      <c r="G397" s="1"/>
      <c r="H397" s="640"/>
      <c r="I397" s="107"/>
    </row>
    <row r="398" spans="1:9" ht="20.25" customHeight="1">
      <c r="A398" s="1"/>
      <c r="B398" s="1"/>
      <c r="C398" s="1"/>
      <c r="D398" s="640"/>
      <c r="E398" s="640"/>
      <c r="F398" s="1"/>
      <c r="G398" s="1"/>
      <c r="H398" s="640"/>
      <c r="I398" s="107"/>
    </row>
    <row r="399" spans="1:9" ht="20.25" customHeight="1">
      <c r="A399" s="1"/>
      <c r="B399" s="1"/>
      <c r="C399" s="1"/>
      <c r="D399" s="640"/>
      <c r="E399" s="640"/>
      <c r="F399" s="1"/>
      <c r="G399" s="1"/>
      <c r="H399" s="640"/>
      <c r="I399" s="107"/>
    </row>
    <row r="400" spans="1:9" ht="20.25" customHeight="1">
      <c r="A400" s="1"/>
      <c r="B400" s="1"/>
      <c r="C400" s="1"/>
      <c r="D400" s="640"/>
      <c r="E400" s="640"/>
      <c r="F400" s="1"/>
      <c r="G400" s="1"/>
      <c r="H400" s="640"/>
      <c r="I400" s="107"/>
    </row>
    <row r="401" spans="1:9" ht="20.25" customHeight="1">
      <c r="A401" s="1"/>
      <c r="B401" s="1"/>
      <c r="C401" s="1"/>
      <c r="D401" s="640"/>
      <c r="E401" s="640"/>
      <c r="F401" s="1"/>
      <c r="G401" s="1"/>
      <c r="H401" s="640"/>
      <c r="I401" s="107"/>
    </row>
    <row r="402" spans="1:9" ht="20.25" customHeight="1">
      <c r="A402" s="1"/>
      <c r="B402" s="1"/>
      <c r="C402" s="1"/>
      <c r="D402" s="640"/>
      <c r="E402" s="640"/>
      <c r="F402" s="1"/>
      <c r="G402" s="1"/>
      <c r="H402" s="640"/>
      <c r="I402" s="107"/>
    </row>
    <row r="403" spans="1:9" ht="20.25" customHeight="1">
      <c r="A403" s="1"/>
      <c r="B403" s="1"/>
      <c r="C403" s="1"/>
      <c r="D403" s="640"/>
      <c r="E403" s="640"/>
      <c r="F403" s="1"/>
      <c r="G403" s="1"/>
      <c r="H403" s="640"/>
      <c r="I403" s="107"/>
    </row>
    <row r="404" spans="1:9" ht="20.25" customHeight="1">
      <c r="A404" s="1"/>
      <c r="B404" s="1"/>
      <c r="C404" s="1"/>
      <c r="D404" s="640"/>
      <c r="E404" s="640"/>
      <c r="F404" s="1"/>
      <c r="G404" s="1"/>
      <c r="H404" s="640"/>
      <c r="I404" s="107"/>
    </row>
    <row r="405" spans="1:9" ht="20.25" customHeight="1">
      <c r="A405" s="1"/>
      <c r="B405" s="1"/>
      <c r="C405" s="1"/>
      <c r="D405" s="640"/>
      <c r="E405" s="640"/>
      <c r="F405" s="1"/>
      <c r="G405" s="1"/>
      <c r="H405" s="640"/>
      <c r="I405" s="107"/>
    </row>
    <row r="406" spans="1:9" ht="20.25" customHeight="1">
      <c r="A406" s="1"/>
      <c r="B406" s="1"/>
      <c r="C406" s="1"/>
      <c r="D406" s="640"/>
      <c r="E406" s="640"/>
      <c r="F406" s="1"/>
      <c r="G406" s="1"/>
      <c r="H406" s="640"/>
      <c r="I406" s="107"/>
    </row>
    <row r="407" spans="1:9" ht="20.25" customHeight="1">
      <c r="A407" s="1"/>
      <c r="B407" s="1"/>
      <c r="C407" s="1"/>
      <c r="D407" s="640"/>
      <c r="E407" s="640"/>
      <c r="F407" s="1"/>
      <c r="G407" s="1"/>
      <c r="H407" s="640"/>
      <c r="I407" s="107"/>
    </row>
    <row r="408" spans="1:9" ht="20.25" customHeight="1">
      <c r="A408" s="1"/>
      <c r="B408" s="1"/>
      <c r="C408" s="1"/>
      <c r="D408" s="640"/>
      <c r="E408" s="640"/>
      <c r="F408" s="1"/>
      <c r="G408" s="1"/>
      <c r="H408" s="640"/>
      <c r="I408" s="107"/>
    </row>
    <row r="409" spans="1:9" ht="20.25" customHeight="1">
      <c r="A409" s="1"/>
      <c r="B409" s="1"/>
      <c r="C409" s="1"/>
      <c r="D409" s="640"/>
      <c r="E409" s="640"/>
      <c r="F409" s="1"/>
      <c r="G409" s="1"/>
      <c r="H409" s="640"/>
      <c r="I409" s="107"/>
    </row>
    <row r="410" spans="1:9" ht="20.25" customHeight="1">
      <c r="A410" s="1"/>
      <c r="B410" s="1"/>
      <c r="C410" s="1"/>
      <c r="D410" s="640"/>
      <c r="E410" s="640"/>
      <c r="F410" s="1"/>
      <c r="G410" s="1"/>
      <c r="H410" s="640"/>
      <c r="I410" s="107"/>
    </row>
    <row r="411" spans="1:9" ht="20.25" customHeight="1">
      <c r="A411" s="1"/>
      <c r="B411" s="1"/>
      <c r="C411" s="1"/>
      <c r="D411" s="640"/>
      <c r="E411" s="640"/>
      <c r="F411" s="1"/>
      <c r="G411" s="1"/>
      <c r="H411" s="640"/>
      <c r="I411" s="107"/>
    </row>
    <row r="412" spans="1:9" ht="20.25" customHeight="1">
      <c r="A412" s="1"/>
      <c r="B412" s="1"/>
      <c r="C412" s="1"/>
      <c r="D412" s="640"/>
      <c r="E412" s="640"/>
      <c r="F412" s="1"/>
      <c r="G412" s="1"/>
      <c r="H412" s="640"/>
      <c r="I412" s="107"/>
    </row>
    <row r="413" spans="1:9" ht="20.25" customHeight="1">
      <c r="A413" s="1"/>
      <c r="B413" s="1"/>
      <c r="C413" s="1"/>
      <c r="D413" s="640"/>
      <c r="E413" s="640"/>
      <c r="F413" s="1"/>
      <c r="G413" s="1"/>
      <c r="H413" s="640"/>
      <c r="I413" s="107"/>
    </row>
    <row r="414" spans="1:9" ht="20.25" customHeight="1">
      <c r="A414" s="1"/>
      <c r="B414" s="1"/>
      <c r="C414" s="1"/>
      <c r="D414" s="640"/>
      <c r="E414" s="640"/>
      <c r="F414" s="1"/>
      <c r="G414" s="1"/>
      <c r="H414" s="640"/>
      <c r="I414" s="107"/>
    </row>
    <row r="415" spans="1:9" ht="20.25" customHeight="1">
      <c r="A415" s="1"/>
      <c r="B415" s="1"/>
      <c r="C415" s="1"/>
      <c r="D415" s="640"/>
      <c r="E415" s="640"/>
      <c r="F415" s="1"/>
      <c r="G415" s="1"/>
      <c r="H415" s="640"/>
      <c r="I415" s="107"/>
    </row>
    <row r="416" spans="1:9" ht="20.25" customHeight="1">
      <c r="A416" s="1"/>
      <c r="B416" s="1"/>
      <c r="C416" s="1"/>
      <c r="D416" s="640"/>
      <c r="E416" s="640"/>
      <c r="F416" s="1"/>
      <c r="G416" s="1"/>
      <c r="H416" s="640"/>
      <c r="I416" s="107"/>
    </row>
    <row r="417" spans="1:9" ht="20.25" customHeight="1">
      <c r="A417" s="1"/>
      <c r="B417" s="1"/>
      <c r="C417" s="1"/>
      <c r="D417" s="640"/>
      <c r="E417" s="640"/>
      <c r="F417" s="1"/>
      <c r="G417" s="1"/>
      <c r="H417" s="640"/>
      <c r="I417" s="107"/>
    </row>
    <row r="418" spans="1:9" ht="20.25" customHeight="1">
      <c r="A418" s="1"/>
      <c r="B418" s="1"/>
      <c r="C418" s="1"/>
      <c r="D418" s="640"/>
      <c r="E418" s="640"/>
      <c r="F418" s="1"/>
      <c r="G418" s="1"/>
      <c r="H418" s="640"/>
      <c r="I418" s="107"/>
    </row>
    <row r="419" spans="1:9" ht="20.25" customHeight="1">
      <c r="A419" s="1"/>
      <c r="B419" s="1"/>
      <c r="C419" s="1"/>
      <c r="D419" s="640"/>
      <c r="E419" s="640"/>
      <c r="F419" s="1"/>
      <c r="G419" s="1"/>
      <c r="H419" s="640"/>
      <c r="I419" s="107"/>
    </row>
    <row r="420" spans="1:9" ht="20.25" customHeight="1">
      <c r="A420" s="1"/>
      <c r="B420" s="1"/>
      <c r="C420" s="1"/>
      <c r="D420" s="640"/>
      <c r="E420" s="640"/>
      <c r="F420" s="1"/>
      <c r="G420" s="1"/>
      <c r="H420" s="640"/>
      <c r="I420" s="107"/>
    </row>
    <row r="421" spans="1:9" ht="20.25" customHeight="1">
      <c r="A421" s="1"/>
      <c r="B421" s="1"/>
      <c r="C421" s="1"/>
      <c r="D421" s="640"/>
      <c r="E421" s="640"/>
      <c r="F421" s="1"/>
      <c r="G421" s="1"/>
      <c r="H421" s="640"/>
      <c r="I421" s="107"/>
    </row>
    <row r="422" spans="1:9" ht="20.25" customHeight="1">
      <c r="A422" s="1"/>
      <c r="B422" s="1"/>
      <c r="C422" s="1"/>
      <c r="D422" s="640"/>
      <c r="E422" s="640"/>
      <c r="F422" s="1"/>
      <c r="G422" s="1"/>
      <c r="H422" s="640"/>
      <c r="I422" s="107"/>
    </row>
    <row r="423" spans="1:9" ht="20.25" customHeight="1">
      <c r="A423" s="1"/>
      <c r="B423" s="1"/>
      <c r="C423" s="1"/>
      <c r="D423" s="640"/>
      <c r="E423" s="640"/>
      <c r="F423" s="1"/>
      <c r="G423" s="1"/>
      <c r="H423" s="640"/>
      <c r="I423" s="107"/>
    </row>
    <row r="424" spans="1:9" ht="20.25" customHeight="1">
      <c r="A424" s="1"/>
      <c r="B424" s="1"/>
      <c r="C424" s="1"/>
      <c r="D424" s="640"/>
      <c r="E424" s="640"/>
      <c r="F424" s="1"/>
      <c r="G424" s="1"/>
      <c r="H424" s="640"/>
      <c r="I424" s="107"/>
    </row>
    <row r="425" spans="1:9" ht="20.25" customHeight="1">
      <c r="A425" s="1"/>
      <c r="B425" s="1"/>
      <c r="C425" s="1"/>
      <c r="D425" s="640"/>
      <c r="E425" s="640"/>
      <c r="F425" s="1"/>
      <c r="G425" s="1"/>
      <c r="H425" s="640"/>
      <c r="I425" s="107"/>
    </row>
    <row r="426" spans="1:9" ht="20.25" customHeight="1">
      <c r="A426" s="1"/>
      <c r="B426" s="1"/>
      <c r="C426" s="1"/>
      <c r="D426" s="640"/>
      <c r="E426" s="640"/>
      <c r="F426" s="1"/>
      <c r="G426" s="1"/>
      <c r="H426" s="640"/>
      <c r="I426" s="107"/>
    </row>
    <row r="427" spans="1:9" ht="20.25" customHeight="1">
      <c r="A427" s="1"/>
      <c r="B427" s="1"/>
      <c r="C427" s="1"/>
      <c r="D427" s="640"/>
      <c r="E427" s="640"/>
      <c r="F427" s="1"/>
      <c r="G427" s="1"/>
      <c r="H427" s="640"/>
      <c r="I427" s="107"/>
    </row>
    <row r="428" spans="1:9" ht="20.25" customHeight="1">
      <c r="A428" s="1"/>
      <c r="B428" s="1"/>
      <c r="C428" s="1"/>
      <c r="D428" s="640"/>
      <c r="E428" s="640"/>
      <c r="F428" s="1"/>
      <c r="G428" s="1"/>
      <c r="H428" s="640"/>
      <c r="I428" s="107"/>
    </row>
    <row r="429" spans="1:9" ht="20.25" customHeight="1">
      <c r="A429" s="1"/>
      <c r="B429" s="1"/>
      <c r="C429" s="1"/>
      <c r="D429" s="640"/>
      <c r="E429" s="640"/>
      <c r="F429" s="1"/>
      <c r="G429" s="1"/>
      <c r="H429" s="640"/>
      <c r="I429" s="107"/>
    </row>
    <row r="430" spans="1:9" ht="20.25" customHeight="1">
      <c r="A430" s="1"/>
      <c r="B430" s="1"/>
      <c r="C430" s="1"/>
      <c r="D430" s="640"/>
      <c r="E430" s="640"/>
      <c r="F430" s="1"/>
      <c r="G430" s="1"/>
      <c r="H430" s="640"/>
      <c r="I430" s="107"/>
    </row>
    <row r="431" spans="1:9" ht="20.25" customHeight="1">
      <c r="A431" s="1"/>
      <c r="B431" s="1"/>
      <c r="C431" s="1"/>
      <c r="D431" s="640"/>
      <c r="E431" s="640"/>
      <c r="F431" s="1"/>
      <c r="G431" s="1"/>
      <c r="H431" s="640"/>
      <c r="I431" s="107"/>
    </row>
    <row r="432" spans="1:9" ht="20.25" customHeight="1">
      <c r="A432" s="1"/>
      <c r="B432" s="1"/>
      <c r="C432" s="1"/>
      <c r="D432" s="640"/>
      <c r="E432" s="640"/>
      <c r="F432" s="1"/>
      <c r="G432" s="1"/>
      <c r="H432" s="640"/>
      <c r="I432" s="107"/>
    </row>
    <row r="433" spans="1:9" ht="20.25" customHeight="1">
      <c r="A433" s="1"/>
      <c r="B433" s="1"/>
      <c r="C433" s="1"/>
      <c r="D433" s="640"/>
      <c r="E433" s="640"/>
      <c r="F433" s="1"/>
      <c r="G433" s="1"/>
      <c r="H433" s="640"/>
      <c r="I433" s="107"/>
    </row>
    <row r="434" spans="1:9" ht="20.25" customHeight="1">
      <c r="A434" s="1"/>
      <c r="B434" s="1"/>
      <c r="C434" s="1"/>
      <c r="D434" s="640"/>
      <c r="E434" s="640"/>
      <c r="F434" s="1"/>
      <c r="G434" s="1"/>
      <c r="H434" s="640"/>
      <c r="I434" s="107"/>
    </row>
    <row r="435" spans="1:9" ht="20.25" customHeight="1">
      <c r="A435" s="1"/>
      <c r="B435" s="1"/>
      <c r="C435" s="1"/>
      <c r="D435" s="640"/>
      <c r="E435" s="640"/>
      <c r="F435" s="1"/>
      <c r="G435" s="1"/>
      <c r="H435" s="640"/>
      <c r="I435" s="107"/>
    </row>
    <row r="436" spans="1:9" ht="20.25" customHeight="1">
      <c r="A436" s="1"/>
      <c r="B436" s="1"/>
      <c r="C436" s="1"/>
      <c r="D436" s="640"/>
      <c r="E436" s="640"/>
      <c r="F436" s="1"/>
      <c r="G436" s="1"/>
      <c r="H436" s="640"/>
      <c r="I436" s="107"/>
    </row>
    <row r="437" spans="1:9" ht="20.25" customHeight="1">
      <c r="A437" s="1"/>
      <c r="B437" s="1"/>
      <c r="C437" s="1"/>
      <c r="D437" s="640"/>
      <c r="E437" s="640"/>
      <c r="F437" s="1"/>
      <c r="G437" s="1"/>
      <c r="H437" s="640"/>
      <c r="I437" s="107"/>
    </row>
    <row r="438" spans="1:9" ht="20.25" customHeight="1">
      <c r="A438" s="1"/>
      <c r="B438" s="1"/>
      <c r="C438" s="1"/>
      <c r="D438" s="640"/>
      <c r="E438" s="640"/>
      <c r="F438" s="1"/>
      <c r="G438" s="1"/>
      <c r="H438" s="640"/>
      <c r="I438" s="107"/>
    </row>
    <row r="439" spans="1:9" ht="20.25" customHeight="1">
      <c r="A439" s="1"/>
      <c r="B439" s="1"/>
      <c r="C439" s="1"/>
      <c r="D439" s="640"/>
      <c r="E439" s="640"/>
      <c r="F439" s="1"/>
      <c r="G439" s="1"/>
      <c r="H439" s="640"/>
      <c r="I439" s="107"/>
    </row>
    <row r="440" spans="1:9" ht="20.25" customHeight="1">
      <c r="A440" s="1"/>
      <c r="B440" s="1"/>
      <c r="C440" s="1"/>
      <c r="D440" s="640"/>
      <c r="E440" s="640"/>
      <c r="F440" s="1"/>
      <c r="G440" s="1"/>
      <c r="H440" s="640"/>
      <c r="I440" s="107"/>
    </row>
    <row r="441" spans="1:9" ht="20.25" customHeight="1">
      <c r="A441" s="1"/>
      <c r="B441" s="1"/>
      <c r="C441" s="1"/>
      <c r="D441" s="640"/>
      <c r="E441" s="640"/>
      <c r="F441" s="1"/>
      <c r="G441" s="1"/>
      <c r="H441" s="640"/>
      <c r="I441" s="107"/>
    </row>
    <row r="442" spans="1:9" ht="20.25" customHeight="1">
      <c r="A442" s="1"/>
      <c r="B442" s="1"/>
      <c r="C442" s="1"/>
      <c r="D442" s="640"/>
      <c r="E442" s="640"/>
      <c r="F442" s="1"/>
      <c r="G442" s="1"/>
      <c r="H442" s="640"/>
      <c r="I442" s="107"/>
    </row>
    <row r="443" spans="1:9" ht="20.25" customHeight="1">
      <c r="A443" s="1"/>
      <c r="B443" s="1"/>
      <c r="C443" s="1"/>
      <c r="D443" s="640"/>
      <c r="E443" s="640"/>
      <c r="F443" s="1"/>
      <c r="G443" s="1"/>
      <c r="H443" s="640"/>
      <c r="I443" s="107"/>
    </row>
    <row r="444" spans="1:9" ht="20.25" customHeight="1">
      <c r="A444" s="1"/>
      <c r="B444" s="1"/>
      <c r="C444" s="1"/>
      <c r="D444" s="640"/>
      <c r="E444" s="640"/>
      <c r="F444" s="1"/>
      <c r="G444" s="1"/>
      <c r="H444" s="640"/>
      <c r="I444" s="107"/>
    </row>
    <row r="445" spans="1:9" ht="20.25" customHeight="1">
      <c r="A445" s="1"/>
      <c r="B445" s="1"/>
      <c r="C445" s="1"/>
      <c r="D445" s="640"/>
      <c r="E445" s="640"/>
      <c r="F445" s="1"/>
      <c r="G445" s="1"/>
      <c r="H445" s="640"/>
      <c r="I445" s="107"/>
    </row>
    <row r="446" spans="1:9" ht="20.25" customHeight="1">
      <c r="A446" s="1"/>
      <c r="B446" s="1"/>
      <c r="C446" s="1"/>
      <c r="D446" s="640"/>
      <c r="E446" s="640"/>
      <c r="F446" s="1"/>
      <c r="G446" s="1"/>
      <c r="H446" s="640"/>
      <c r="I446" s="107"/>
    </row>
    <row r="447" spans="1:9" ht="20.25" customHeight="1">
      <c r="A447" s="1"/>
      <c r="B447" s="1"/>
      <c r="C447" s="1"/>
      <c r="D447" s="640"/>
      <c r="E447" s="640"/>
      <c r="F447" s="1"/>
      <c r="G447" s="1"/>
      <c r="H447" s="640"/>
      <c r="I447" s="107"/>
    </row>
    <row r="448" spans="1:9" ht="20.25" customHeight="1">
      <c r="A448" s="1"/>
      <c r="B448" s="1"/>
      <c r="C448" s="1"/>
      <c r="D448" s="640"/>
      <c r="E448" s="640"/>
      <c r="F448" s="1"/>
      <c r="G448" s="1"/>
      <c r="H448" s="640"/>
      <c r="I448" s="107"/>
    </row>
    <row r="449" spans="1:9" ht="20.25" customHeight="1">
      <c r="A449" s="1"/>
      <c r="B449" s="1"/>
      <c r="C449" s="1"/>
      <c r="D449" s="640"/>
      <c r="E449" s="640"/>
      <c r="F449" s="1"/>
      <c r="G449" s="1"/>
      <c r="H449" s="640"/>
      <c r="I449" s="107"/>
    </row>
    <row r="450" spans="1:9" ht="20.25" customHeight="1">
      <c r="A450" s="1"/>
      <c r="B450" s="1"/>
      <c r="C450" s="1"/>
      <c r="D450" s="640"/>
      <c r="E450" s="640"/>
      <c r="F450" s="1"/>
      <c r="G450" s="1"/>
      <c r="H450" s="640"/>
      <c r="I450" s="107"/>
    </row>
    <row r="451" spans="1:9" ht="20.25" customHeight="1">
      <c r="A451" s="1"/>
      <c r="B451" s="1"/>
      <c r="C451" s="1"/>
      <c r="D451" s="640"/>
      <c r="E451" s="640"/>
      <c r="F451" s="1"/>
      <c r="G451" s="1"/>
      <c r="H451" s="640"/>
      <c r="I451" s="107"/>
    </row>
    <row r="452" spans="1:9" ht="20.25" customHeight="1">
      <c r="A452" s="1"/>
      <c r="B452" s="1"/>
      <c r="C452" s="1"/>
      <c r="D452" s="640"/>
      <c r="E452" s="640"/>
      <c r="F452" s="1"/>
      <c r="G452" s="1"/>
      <c r="H452" s="640"/>
      <c r="I452" s="107"/>
    </row>
    <row r="453" spans="1:9" ht="20.25" customHeight="1">
      <c r="A453" s="1"/>
      <c r="B453" s="1"/>
      <c r="C453" s="1"/>
      <c r="D453" s="640"/>
      <c r="E453" s="640"/>
      <c r="F453" s="1"/>
      <c r="G453" s="1"/>
      <c r="H453" s="640"/>
      <c r="I453" s="107"/>
    </row>
    <row r="454" spans="1:9" ht="20.25" customHeight="1">
      <c r="A454" s="1"/>
      <c r="B454" s="1"/>
      <c r="C454" s="1"/>
      <c r="D454" s="640"/>
      <c r="E454" s="640"/>
      <c r="F454" s="1"/>
      <c r="G454" s="1"/>
      <c r="H454" s="640"/>
      <c r="I454" s="107"/>
    </row>
    <row r="455" spans="1:9" ht="20.25" customHeight="1">
      <c r="A455" s="1"/>
      <c r="B455" s="1"/>
      <c r="C455" s="1"/>
      <c r="D455" s="640"/>
      <c r="E455" s="640"/>
      <c r="F455" s="1"/>
      <c r="G455" s="1"/>
      <c r="H455" s="640"/>
      <c r="I455" s="107"/>
    </row>
    <row r="456" spans="1:9" ht="20.25" customHeight="1">
      <c r="A456" s="1"/>
      <c r="B456" s="1"/>
      <c r="C456" s="1"/>
      <c r="D456" s="640"/>
      <c r="E456" s="640"/>
      <c r="F456" s="1"/>
      <c r="G456" s="1"/>
      <c r="H456" s="640"/>
      <c r="I456" s="107"/>
    </row>
    <row r="457" spans="1:9" ht="20.25" customHeight="1">
      <c r="A457" s="1"/>
      <c r="B457" s="1"/>
      <c r="C457" s="1"/>
      <c r="D457" s="640"/>
      <c r="E457" s="640"/>
      <c r="F457" s="1"/>
      <c r="G457" s="1"/>
      <c r="H457" s="640"/>
      <c r="I457" s="107"/>
    </row>
    <row r="458" spans="1:9" ht="20.25" customHeight="1">
      <c r="A458" s="1"/>
      <c r="B458" s="1"/>
      <c r="C458" s="1"/>
      <c r="D458" s="640"/>
      <c r="E458" s="640"/>
      <c r="F458" s="1"/>
      <c r="G458" s="1"/>
      <c r="H458" s="640"/>
      <c r="I458" s="107"/>
    </row>
    <row r="459" spans="1:9" ht="20.25" customHeight="1">
      <c r="A459" s="1"/>
      <c r="B459" s="1"/>
      <c r="C459" s="1"/>
      <c r="D459" s="640"/>
      <c r="E459" s="640"/>
      <c r="F459" s="1"/>
      <c r="G459" s="1"/>
      <c r="H459" s="640"/>
      <c r="I459" s="107"/>
    </row>
    <row r="460" spans="1:9" ht="20.25" customHeight="1">
      <c r="A460" s="1"/>
      <c r="B460" s="1"/>
      <c r="C460" s="1"/>
      <c r="D460" s="640"/>
      <c r="E460" s="640"/>
      <c r="F460" s="1"/>
      <c r="G460" s="1"/>
      <c r="H460" s="640"/>
      <c r="I460" s="107"/>
    </row>
    <row r="461" spans="1:9" ht="20.25" customHeight="1">
      <c r="A461" s="1"/>
      <c r="B461" s="1"/>
      <c r="C461" s="1"/>
      <c r="D461" s="640"/>
      <c r="E461" s="640"/>
      <c r="F461" s="1"/>
      <c r="G461" s="1"/>
      <c r="H461" s="640"/>
      <c r="I461" s="107"/>
    </row>
    <row r="462" spans="1:9" ht="20.25" customHeight="1">
      <c r="A462" s="1"/>
      <c r="B462" s="1"/>
      <c r="C462" s="1"/>
      <c r="D462" s="640"/>
      <c r="E462" s="640"/>
      <c r="F462" s="1"/>
      <c r="G462" s="1"/>
      <c r="H462" s="640"/>
      <c r="I462" s="107"/>
    </row>
    <row r="463" spans="1:9" ht="20.25" customHeight="1">
      <c r="A463" s="1"/>
      <c r="B463" s="1"/>
      <c r="C463" s="1"/>
      <c r="D463" s="640"/>
      <c r="E463" s="640"/>
      <c r="F463" s="1"/>
      <c r="G463" s="1"/>
      <c r="H463" s="640"/>
      <c r="I463" s="107"/>
    </row>
    <row r="464" spans="1:9" ht="20.25" customHeight="1">
      <c r="A464" s="1"/>
      <c r="B464" s="1"/>
      <c r="C464" s="1"/>
      <c r="D464" s="640"/>
      <c r="E464" s="640"/>
      <c r="F464" s="1"/>
      <c r="G464" s="1"/>
      <c r="H464" s="640"/>
      <c r="I464" s="107"/>
    </row>
    <row r="465" spans="1:9" ht="20.25" customHeight="1">
      <c r="A465" s="1"/>
      <c r="B465" s="1"/>
      <c r="C465" s="1"/>
      <c r="D465" s="640"/>
      <c r="E465" s="640"/>
      <c r="F465" s="1"/>
      <c r="G465" s="1"/>
      <c r="H465" s="640"/>
      <c r="I465" s="107"/>
    </row>
    <row r="466" spans="1:9" ht="20.25" customHeight="1">
      <c r="A466" s="1"/>
      <c r="B466" s="1"/>
      <c r="C466" s="1"/>
      <c r="D466" s="640"/>
      <c r="E466" s="640"/>
      <c r="F466" s="1"/>
      <c r="G466" s="1"/>
      <c r="H466" s="640"/>
      <c r="I466" s="107"/>
    </row>
    <row r="467" spans="1:9" ht="20.25" customHeight="1">
      <c r="A467" s="1"/>
      <c r="B467" s="1"/>
      <c r="C467" s="1"/>
      <c r="D467" s="640"/>
      <c r="E467" s="640"/>
      <c r="F467" s="1"/>
      <c r="G467" s="1"/>
      <c r="H467" s="640"/>
      <c r="I467" s="107"/>
    </row>
    <row r="468" spans="1:9" ht="20.25" customHeight="1">
      <c r="A468" s="1"/>
      <c r="B468" s="1"/>
      <c r="C468" s="1"/>
      <c r="D468" s="640"/>
      <c r="E468" s="640"/>
      <c r="F468" s="1"/>
      <c r="G468" s="1"/>
      <c r="H468" s="640"/>
      <c r="I468" s="107"/>
    </row>
    <row r="469" spans="1:9" ht="20.25" customHeight="1">
      <c r="A469" s="1"/>
      <c r="B469" s="1"/>
      <c r="C469" s="1"/>
      <c r="D469" s="640"/>
      <c r="E469" s="640"/>
      <c r="F469" s="1"/>
      <c r="G469" s="1"/>
      <c r="H469" s="640"/>
      <c r="I469" s="107"/>
    </row>
    <row r="470" spans="1:9" ht="20.25" customHeight="1">
      <c r="A470" s="1"/>
      <c r="B470" s="1"/>
      <c r="C470" s="1"/>
      <c r="D470" s="640"/>
      <c r="E470" s="640"/>
      <c r="F470" s="1"/>
      <c r="G470" s="1"/>
      <c r="H470" s="640"/>
      <c r="I470" s="107"/>
    </row>
    <row r="471" spans="1:9" ht="20.25" customHeight="1">
      <c r="A471" s="1"/>
      <c r="B471" s="1"/>
      <c r="C471" s="1"/>
      <c r="D471" s="640"/>
      <c r="E471" s="640"/>
      <c r="F471" s="1"/>
      <c r="G471" s="1"/>
      <c r="H471" s="640"/>
      <c r="I471" s="107"/>
    </row>
    <row r="472" spans="1:9" ht="20.25" customHeight="1">
      <c r="A472" s="1"/>
      <c r="B472" s="1"/>
      <c r="C472" s="1"/>
      <c r="D472" s="640"/>
      <c r="E472" s="640"/>
      <c r="F472" s="1"/>
      <c r="G472" s="1"/>
      <c r="H472" s="640"/>
      <c r="I472" s="107"/>
    </row>
    <row r="473" spans="1:9" ht="20.25" customHeight="1">
      <c r="A473" s="1"/>
      <c r="B473" s="1"/>
      <c r="C473" s="1"/>
      <c r="D473" s="640"/>
      <c r="E473" s="640"/>
      <c r="F473" s="1"/>
      <c r="G473" s="1"/>
      <c r="H473" s="640"/>
      <c r="I473" s="107"/>
    </row>
    <row r="474" spans="1:9" ht="20.25" customHeight="1">
      <c r="A474" s="1"/>
      <c r="B474" s="1"/>
      <c r="C474" s="1"/>
      <c r="D474" s="640"/>
      <c r="E474" s="640"/>
      <c r="F474" s="1"/>
      <c r="G474" s="1"/>
      <c r="H474" s="640"/>
      <c r="I474" s="107"/>
    </row>
    <row r="475" spans="1:9" ht="20.25" customHeight="1">
      <c r="A475" s="1"/>
      <c r="B475" s="1"/>
      <c r="C475" s="1"/>
      <c r="D475" s="640"/>
      <c r="E475" s="640"/>
      <c r="F475" s="1"/>
      <c r="G475" s="1"/>
      <c r="H475" s="640"/>
      <c r="I475" s="107"/>
    </row>
    <row r="476" spans="1:9" ht="20.25" customHeight="1">
      <c r="A476" s="1"/>
      <c r="B476" s="1"/>
      <c r="C476" s="1"/>
      <c r="D476" s="640"/>
      <c r="E476" s="640"/>
      <c r="F476" s="1"/>
      <c r="G476" s="1"/>
      <c r="H476" s="640"/>
      <c r="I476" s="107"/>
    </row>
    <row r="477" spans="1:9" ht="20.25" customHeight="1">
      <c r="A477" s="1"/>
      <c r="B477" s="1"/>
      <c r="C477" s="1"/>
      <c r="D477" s="640"/>
      <c r="E477" s="640"/>
      <c r="F477" s="1"/>
      <c r="G477" s="1"/>
      <c r="H477" s="640"/>
      <c r="I477" s="107"/>
    </row>
    <row r="478" spans="1:9" ht="20.25" customHeight="1">
      <c r="A478" s="1"/>
      <c r="B478" s="1"/>
      <c r="C478" s="1"/>
      <c r="D478" s="640"/>
      <c r="E478" s="640"/>
      <c r="F478" s="1"/>
      <c r="G478" s="1"/>
      <c r="H478" s="640"/>
      <c r="I478" s="107"/>
    </row>
    <row r="479" spans="1:9" ht="20.25" customHeight="1">
      <c r="A479" s="1"/>
      <c r="B479" s="1"/>
      <c r="C479" s="1"/>
      <c r="D479" s="640"/>
      <c r="E479" s="640"/>
      <c r="F479" s="1"/>
      <c r="G479" s="1"/>
      <c r="H479" s="640"/>
      <c r="I479" s="107"/>
    </row>
    <row r="480" spans="1:9" ht="20.25" customHeight="1">
      <c r="A480" s="1"/>
      <c r="B480" s="1"/>
      <c r="C480" s="1"/>
      <c r="D480" s="640"/>
      <c r="E480" s="640"/>
      <c r="F480" s="1"/>
      <c r="G480" s="1"/>
      <c r="H480" s="640"/>
      <c r="I480" s="107"/>
    </row>
    <row r="481" spans="1:9" ht="20.25" customHeight="1">
      <c r="A481" s="1"/>
      <c r="B481" s="1"/>
      <c r="C481" s="1"/>
      <c r="D481" s="640"/>
      <c r="E481" s="640"/>
      <c r="F481" s="1"/>
      <c r="G481" s="1"/>
      <c r="H481" s="640"/>
      <c r="I481" s="107"/>
    </row>
    <row r="482" spans="1:9" ht="20.25" customHeight="1">
      <c r="A482" s="1"/>
      <c r="B482" s="1"/>
      <c r="C482" s="1"/>
      <c r="D482" s="640"/>
      <c r="E482" s="640"/>
      <c r="F482" s="1"/>
      <c r="G482" s="1"/>
      <c r="H482" s="640"/>
      <c r="I482" s="107"/>
    </row>
    <row r="483" spans="1:9" ht="20.25" customHeight="1">
      <c r="A483" s="1"/>
      <c r="B483" s="1"/>
      <c r="C483" s="1"/>
      <c r="D483" s="640"/>
      <c r="E483" s="640"/>
      <c r="F483" s="1"/>
      <c r="G483" s="1"/>
      <c r="H483" s="640"/>
      <c r="I483" s="107"/>
    </row>
    <row r="484" spans="1:9" ht="20.25" customHeight="1">
      <c r="A484" s="1"/>
      <c r="B484" s="1"/>
      <c r="C484" s="1"/>
      <c r="D484" s="640"/>
      <c r="E484" s="640"/>
      <c r="F484" s="1"/>
      <c r="G484" s="1"/>
      <c r="H484" s="640"/>
      <c r="I484" s="107"/>
    </row>
    <row r="485" spans="1:9" ht="20.25" customHeight="1">
      <c r="A485" s="1"/>
      <c r="B485" s="1"/>
      <c r="C485" s="1"/>
      <c r="D485" s="640"/>
      <c r="E485" s="640"/>
      <c r="F485" s="1"/>
      <c r="G485" s="1"/>
      <c r="H485" s="640"/>
      <c r="I485" s="107"/>
    </row>
    <row r="486" spans="1:9" ht="20.25" customHeight="1">
      <c r="A486" s="1"/>
      <c r="B486" s="1"/>
      <c r="C486" s="1"/>
      <c r="D486" s="640"/>
      <c r="E486" s="640"/>
      <c r="F486" s="1"/>
      <c r="G486" s="1"/>
      <c r="H486" s="640"/>
      <c r="I486" s="107"/>
    </row>
    <row r="487" spans="1:9" ht="20.25" customHeight="1">
      <c r="A487" s="1"/>
      <c r="B487" s="1"/>
      <c r="C487" s="1"/>
      <c r="D487" s="640"/>
      <c r="E487" s="640"/>
      <c r="F487" s="1"/>
      <c r="G487" s="1"/>
      <c r="H487" s="640"/>
      <c r="I487" s="107"/>
    </row>
    <row r="488" spans="1:9" ht="20.25" customHeight="1">
      <c r="A488" s="1"/>
      <c r="B488" s="1"/>
      <c r="C488" s="1"/>
      <c r="D488" s="640"/>
      <c r="E488" s="640"/>
      <c r="F488" s="1"/>
      <c r="G488" s="1"/>
      <c r="H488" s="640"/>
      <c r="I488" s="107"/>
    </row>
    <row r="489" spans="1:9" ht="20.25" customHeight="1">
      <c r="A489" s="1"/>
      <c r="B489" s="1"/>
      <c r="C489" s="1"/>
      <c r="D489" s="640"/>
      <c r="E489" s="640"/>
      <c r="F489" s="1"/>
      <c r="G489" s="1"/>
      <c r="H489" s="640"/>
      <c r="I489" s="107"/>
    </row>
    <row r="490" spans="1:9" ht="20.25" customHeight="1">
      <c r="A490" s="1"/>
      <c r="B490" s="1"/>
      <c r="C490" s="1"/>
      <c r="D490" s="640"/>
      <c r="E490" s="640"/>
      <c r="F490" s="1"/>
      <c r="G490" s="1"/>
      <c r="H490" s="640"/>
      <c r="I490" s="107"/>
    </row>
    <row r="491" spans="1:9" ht="20.25" customHeight="1">
      <c r="A491" s="1"/>
      <c r="B491" s="1"/>
      <c r="C491" s="1"/>
      <c r="D491" s="640"/>
      <c r="E491" s="640"/>
      <c r="F491" s="1"/>
      <c r="G491" s="1"/>
      <c r="H491" s="640"/>
      <c r="I491" s="107"/>
    </row>
    <row r="492" spans="1:9" ht="20.25" customHeight="1">
      <c r="A492" s="1"/>
      <c r="B492" s="1"/>
      <c r="C492" s="1"/>
      <c r="D492" s="640"/>
      <c r="E492" s="640"/>
      <c r="F492" s="1"/>
      <c r="G492" s="1"/>
      <c r="H492" s="640"/>
      <c r="I492" s="107"/>
    </row>
    <row r="493" spans="1:9" ht="20.25" customHeight="1">
      <c r="A493" s="1"/>
      <c r="B493" s="1"/>
      <c r="C493" s="1"/>
      <c r="D493" s="640"/>
      <c r="E493" s="640"/>
      <c r="F493" s="1"/>
      <c r="G493" s="1"/>
      <c r="H493" s="640"/>
      <c r="I493" s="107"/>
    </row>
    <row r="494" spans="1:9" ht="20.25" customHeight="1">
      <c r="A494" s="1"/>
      <c r="B494" s="1"/>
      <c r="C494" s="1"/>
      <c r="D494" s="640"/>
      <c r="E494" s="640"/>
      <c r="F494" s="1"/>
      <c r="G494" s="1"/>
      <c r="H494" s="640"/>
      <c r="I494" s="107"/>
    </row>
    <row r="495" spans="1:9" ht="20.25" customHeight="1">
      <c r="A495" s="1"/>
      <c r="B495" s="1"/>
      <c r="C495" s="1"/>
      <c r="D495" s="640"/>
      <c r="E495" s="640"/>
      <c r="F495" s="1"/>
      <c r="G495" s="1"/>
      <c r="H495" s="640"/>
      <c r="I495" s="107"/>
    </row>
    <row r="496" spans="1:9" ht="20.25" customHeight="1">
      <c r="A496" s="1"/>
      <c r="B496" s="1"/>
      <c r="C496" s="1"/>
      <c r="D496" s="640"/>
      <c r="E496" s="640"/>
      <c r="F496" s="1"/>
      <c r="G496" s="1"/>
      <c r="H496" s="640"/>
      <c r="I496" s="107"/>
    </row>
    <row r="497" spans="1:9" ht="20.25" customHeight="1">
      <c r="A497" s="1"/>
      <c r="B497" s="1"/>
      <c r="C497" s="1"/>
      <c r="D497" s="640"/>
      <c r="E497" s="640"/>
      <c r="F497" s="1"/>
      <c r="G497" s="1"/>
      <c r="H497" s="640"/>
      <c r="I497" s="107"/>
    </row>
    <row r="498" spans="1:9" ht="20.25" customHeight="1">
      <c r="A498" s="1"/>
      <c r="B498" s="1"/>
      <c r="C498" s="1"/>
      <c r="D498" s="640"/>
      <c r="E498" s="640"/>
      <c r="F498" s="1"/>
      <c r="G498" s="1"/>
      <c r="H498" s="640"/>
      <c r="I498" s="107"/>
    </row>
    <row r="499" spans="1:9" ht="20.25" customHeight="1">
      <c r="A499" s="1"/>
      <c r="B499" s="1"/>
      <c r="C499" s="1"/>
      <c r="D499" s="640"/>
      <c r="E499" s="640"/>
      <c r="F499" s="1"/>
      <c r="G499" s="1"/>
      <c r="H499" s="640"/>
      <c r="I499" s="107"/>
    </row>
    <row r="500" spans="1:9" ht="20.25" customHeight="1">
      <c r="A500" s="1"/>
      <c r="B500" s="1"/>
      <c r="C500" s="1"/>
      <c r="D500" s="640"/>
      <c r="E500" s="640"/>
      <c r="F500" s="1"/>
      <c r="G500" s="1"/>
      <c r="H500" s="640"/>
      <c r="I500" s="107"/>
    </row>
    <row r="501" spans="1:9" ht="20.25" customHeight="1">
      <c r="A501" s="1"/>
      <c r="B501" s="1"/>
      <c r="C501" s="1"/>
      <c r="D501" s="640"/>
      <c r="E501" s="640"/>
      <c r="F501" s="1"/>
      <c r="G501" s="1"/>
      <c r="H501" s="640"/>
      <c r="I501" s="107"/>
    </row>
    <row r="502" spans="1:9" ht="20.25" customHeight="1">
      <c r="A502" s="1"/>
      <c r="B502" s="1"/>
      <c r="C502" s="1"/>
      <c r="D502" s="640"/>
      <c r="E502" s="640"/>
      <c r="F502" s="1"/>
      <c r="G502" s="1"/>
      <c r="H502" s="640"/>
      <c r="I502" s="107"/>
    </row>
    <row r="503" spans="1:9" ht="20.25" customHeight="1">
      <c r="A503" s="1"/>
      <c r="B503" s="1"/>
      <c r="C503" s="1"/>
      <c r="D503" s="640"/>
      <c r="E503" s="640"/>
      <c r="F503" s="1"/>
      <c r="G503" s="1"/>
      <c r="H503" s="640"/>
      <c r="I503" s="107"/>
    </row>
    <row r="504" spans="1:9" ht="20.25" customHeight="1">
      <c r="A504" s="1"/>
      <c r="B504" s="1"/>
      <c r="C504" s="1"/>
      <c r="D504" s="640"/>
      <c r="E504" s="640"/>
      <c r="F504" s="1"/>
      <c r="G504" s="1"/>
      <c r="H504" s="640"/>
      <c r="I504" s="107"/>
    </row>
    <row r="505" spans="1:9" ht="20.25" customHeight="1">
      <c r="A505" s="1"/>
      <c r="B505" s="1"/>
      <c r="C505" s="1"/>
      <c r="D505" s="640"/>
      <c r="E505" s="640"/>
      <c r="F505" s="1"/>
      <c r="G505" s="1"/>
      <c r="H505" s="640"/>
      <c r="I505" s="107"/>
    </row>
    <row r="506" spans="1:9" ht="20.25" customHeight="1">
      <c r="A506" s="1"/>
      <c r="B506" s="1"/>
      <c r="C506" s="1"/>
      <c r="D506" s="640"/>
      <c r="E506" s="640"/>
      <c r="F506" s="1"/>
      <c r="G506" s="1"/>
      <c r="H506" s="640"/>
      <c r="I506" s="107"/>
    </row>
    <row r="507" spans="1:9" ht="20.25" customHeight="1">
      <c r="A507" s="1"/>
      <c r="B507" s="1"/>
      <c r="C507" s="1"/>
      <c r="D507" s="640"/>
      <c r="E507" s="640"/>
      <c r="F507" s="1"/>
      <c r="G507" s="1"/>
      <c r="H507" s="640"/>
      <c r="I507" s="107"/>
    </row>
    <row r="508" spans="1:9" ht="20.25" customHeight="1">
      <c r="A508" s="1"/>
      <c r="B508" s="1"/>
      <c r="C508" s="1"/>
      <c r="D508" s="640"/>
      <c r="E508" s="640"/>
      <c r="F508" s="1"/>
      <c r="G508" s="1"/>
      <c r="H508" s="640"/>
      <c r="I508" s="107"/>
    </row>
    <row r="509" spans="1:9" ht="20.25" customHeight="1">
      <c r="A509" s="1"/>
      <c r="B509" s="1"/>
      <c r="C509" s="1"/>
      <c r="D509" s="640"/>
      <c r="E509" s="640"/>
      <c r="F509" s="1"/>
      <c r="G509" s="1"/>
      <c r="H509" s="640"/>
      <c r="I509" s="107"/>
    </row>
    <row r="510" spans="1:9" ht="20.25" customHeight="1">
      <c r="A510" s="1"/>
      <c r="B510" s="1"/>
      <c r="C510" s="1"/>
      <c r="D510" s="640"/>
      <c r="E510" s="640"/>
      <c r="F510" s="1"/>
      <c r="G510" s="1"/>
      <c r="H510" s="640"/>
      <c r="I510" s="107"/>
    </row>
    <row r="511" spans="1:9" ht="20.25" customHeight="1">
      <c r="A511" s="1"/>
      <c r="B511" s="1"/>
      <c r="C511" s="1"/>
      <c r="D511" s="640"/>
      <c r="E511" s="640"/>
      <c r="F511" s="1"/>
      <c r="G511" s="1"/>
      <c r="H511" s="640"/>
      <c r="I511" s="107"/>
    </row>
    <row r="512" spans="1:9" ht="20.25" customHeight="1">
      <c r="A512" s="1"/>
      <c r="B512" s="1"/>
      <c r="C512" s="1"/>
      <c r="D512" s="640"/>
      <c r="E512" s="640"/>
      <c r="F512" s="1"/>
      <c r="G512" s="1"/>
      <c r="H512" s="640"/>
      <c r="I512" s="107"/>
    </row>
    <row r="513" spans="1:9" ht="20.25" customHeight="1">
      <c r="A513" s="1"/>
      <c r="B513" s="1"/>
      <c r="C513" s="1"/>
      <c r="D513" s="640"/>
      <c r="E513" s="640"/>
      <c r="F513" s="1"/>
      <c r="G513" s="1"/>
      <c r="H513" s="640"/>
      <c r="I513" s="107"/>
    </row>
    <row r="514" spans="1:9" ht="20.25" customHeight="1">
      <c r="A514" s="1"/>
      <c r="B514" s="1"/>
      <c r="C514" s="1"/>
      <c r="D514" s="640"/>
      <c r="E514" s="640"/>
      <c r="F514" s="1"/>
      <c r="G514" s="1"/>
      <c r="H514" s="640"/>
      <c r="I514" s="107"/>
    </row>
    <row r="515" spans="1:9" ht="20.25" customHeight="1">
      <c r="A515" s="1"/>
      <c r="B515" s="1"/>
      <c r="C515" s="1"/>
      <c r="D515" s="640"/>
      <c r="E515" s="640"/>
      <c r="F515" s="1"/>
      <c r="G515" s="1"/>
      <c r="H515" s="640"/>
      <c r="I515" s="107"/>
    </row>
    <row r="516" spans="1:9" ht="20.25" customHeight="1">
      <c r="A516" s="1"/>
      <c r="B516" s="1"/>
      <c r="C516" s="1"/>
      <c r="D516" s="640"/>
      <c r="E516" s="640"/>
      <c r="F516" s="1"/>
      <c r="G516" s="1"/>
      <c r="H516" s="640"/>
      <c r="I516" s="107"/>
    </row>
    <row r="517" spans="1:9" ht="20.25" customHeight="1">
      <c r="A517" s="1"/>
      <c r="B517" s="1"/>
      <c r="C517" s="1"/>
      <c r="D517" s="640"/>
      <c r="E517" s="640"/>
      <c r="F517" s="1"/>
      <c r="G517" s="1"/>
      <c r="H517" s="640"/>
      <c r="I517" s="107"/>
    </row>
    <row r="518" spans="1:9" ht="20.25" customHeight="1">
      <c r="A518" s="1"/>
      <c r="B518" s="1"/>
      <c r="C518" s="1"/>
      <c r="D518" s="640"/>
      <c r="E518" s="640"/>
      <c r="F518" s="1"/>
      <c r="G518" s="1"/>
      <c r="H518" s="640"/>
      <c r="I518" s="107"/>
    </row>
    <row r="519" spans="1:9" ht="20.25" customHeight="1">
      <c r="A519" s="1"/>
      <c r="B519" s="1"/>
      <c r="C519" s="1"/>
      <c r="D519" s="640"/>
      <c r="E519" s="640"/>
      <c r="F519" s="1"/>
      <c r="G519" s="1"/>
      <c r="H519" s="640"/>
      <c r="I519" s="107"/>
    </row>
    <row r="520" spans="1:9" ht="20.25" customHeight="1">
      <c r="A520" s="1"/>
      <c r="B520" s="1"/>
      <c r="C520" s="1"/>
      <c r="D520" s="640"/>
      <c r="E520" s="640"/>
      <c r="F520" s="1"/>
      <c r="G520" s="1"/>
      <c r="H520" s="640"/>
      <c r="I520" s="107"/>
    </row>
    <row r="521" spans="1:9" ht="20.25" customHeight="1">
      <c r="A521" s="1"/>
      <c r="B521" s="1"/>
      <c r="C521" s="1"/>
      <c r="D521" s="640"/>
      <c r="E521" s="640"/>
      <c r="F521" s="1"/>
      <c r="G521" s="1"/>
      <c r="H521" s="640"/>
      <c r="I521" s="107"/>
    </row>
    <row r="522" spans="1:9" ht="20.25" customHeight="1">
      <c r="A522" s="1"/>
      <c r="B522" s="1"/>
      <c r="C522" s="1"/>
      <c r="D522" s="640"/>
      <c r="E522" s="640"/>
      <c r="F522" s="1"/>
      <c r="G522" s="1"/>
      <c r="H522" s="640"/>
      <c r="I522" s="107"/>
    </row>
    <row r="523" spans="1:9" ht="20.25" customHeight="1">
      <c r="A523" s="1"/>
      <c r="B523" s="1"/>
      <c r="C523" s="1"/>
      <c r="D523" s="640"/>
      <c r="E523" s="640"/>
      <c r="F523" s="1"/>
      <c r="G523" s="1"/>
      <c r="H523" s="640"/>
      <c r="I523" s="107"/>
    </row>
    <row r="524" spans="1:9" ht="20.25" customHeight="1">
      <c r="A524" s="1"/>
      <c r="B524" s="1"/>
      <c r="C524" s="1"/>
      <c r="D524" s="640"/>
      <c r="E524" s="640"/>
      <c r="F524" s="1"/>
      <c r="G524" s="1"/>
      <c r="H524" s="640"/>
      <c r="I524" s="107"/>
    </row>
    <row r="525" spans="1:9" ht="20.25" customHeight="1">
      <c r="A525" s="1"/>
      <c r="B525" s="1"/>
      <c r="C525" s="1"/>
      <c r="D525" s="640"/>
      <c r="E525" s="640"/>
      <c r="F525" s="1"/>
      <c r="G525" s="1"/>
      <c r="H525" s="640"/>
      <c r="I525" s="107"/>
    </row>
    <row r="526" spans="1:9" ht="20.25" customHeight="1">
      <c r="A526" s="1"/>
      <c r="B526" s="1"/>
      <c r="C526" s="1"/>
      <c r="D526" s="640"/>
      <c r="E526" s="640"/>
      <c r="F526" s="1"/>
      <c r="G526" s="1"/>
      <c r="H526" s="640"/>
      <c r="I526" s="107"/>
    </row>
    <row r="527" spans="1:9" ht="20.25" customHeight="1">
      <c r="A527" s="1"/>
      <c r="B527" s="1"/>
      <c r="C527" s="1"/>
      <c r="D527" s="640"/>
      <c r="E527" s="640"/>
      <c r="F527" s="1"/>
      <c r="G527" s="1"/>
      <c r="H527" s="640"/>
      <c r="I527" s="107"/>
    </row>
    <row r="528" spans="1:9" ht="20.25" customHeight="1">
      <c r="A528" s="1"/>
      <c r="B528" s="1"/>
      <c r="C528" s="1"/>
      <c r="D528" s="640"/>
      <c r="E528" s="640"/>
      <c r="F528" s="1"/>
      <c r="G528" s="1"/>
      <c r="H528" s="640"/>
      <c r="I528" s="107"/>
    </row>
    <row r="529" spans="1:9" ht="20.25" customHeight="1">
      <c r="A529" s="1"/>
      <c r="B529" s="1"/>
      <c r="C529" s="1"/>
      <c r="D529" s="640"/>
      <c r="E529" s="640"/>
      <c r="F529" s="1"/>
      <c r="G529" s="1"/>
      <c r="H529" s="640"/>
      <c r="I529" s="107"/>
    </row>
    <row r="530" spans="1:9" ht="20.25" customHeight="1">
      <c r="A530" s="1"/>
      <c r="B530" s="1"/>
      <c r="C530" s="1"/>
      <c r="D530" s="640"/>
      <c r="E530" s="640"/>
      <c r="F530" s="1"/>
      <c r="G530" s="1"/>
      <c r="H530" s="640"/>
      <c r="I530" s="107"/>
    </row>
    <row r="531" spans="1:9" ht="20.25" customHeight="1">
      <c r="A531" s="1"/>
      <c r="B531" s="1"/>
      <c r="C531" s="1"/>
      <c r="D531" s="640"/>
      <c r="E531" s="640"/>
      <c r="F531" s="1"/>
      <c r="G531" s="1"/>
      <c r="H531" s="640"/>
      <c r="I531" s="107"/>
    </row>
    <row r="532" spans="1:9" ht="20.25" customHeight="1">
      <c r="A532" s="1"/>
      <c r="B532" s="1"/>
      <c r="C532" s="1"/>
      <c r="D532" s="640"/>
      <c r="E532" s="640"/>
      <c r="F532" s="1"/>
      <c r="G532" s="1"/>
      <c r="H532" s="640"/>
      <c r="I532" s="107"/>
    </row>
    <row r="533" spans="1:9" ht="20.25" customHeight="1">
      <c r="A533" s="1"/>
      <c r="B533" s="1"/>
      <c r="C533" s="1"/>
      <c r="D533" s="640"/>
      <c r="E533" s="640"/>
      <c r="F533" s="1"/>
      <c r="G533" s="1"/>
      <c r="H533" s="640"/>
      <c r="I533" s="107"/>
    </row>
    <row r="534" spans="1:9" ht="20.25" customHeight="1">
      <c r="A534" s="1"/>
      <c r="B534" s="1"/>
      <c r="C534" s="1"/>
      <c r="D534" s="640"/>
      <c r="E534" s="640"/>
      <c r="F534" s="1"/>
      <c r="G534" s="1"/>
      <c r="H534" s="640"/>
      <c r="I534" s="107"/>
    </row>
    <row r="535" spans="1:9" ht="20.25" customHeight="1">
      <c r="A535" s="1"/>
      <c r="B535" s="1"/>
      <c r="C535" s="1"/>
      <c r="D535" s="640"/>
      <c r="E535" s="640"/>
      <c r="F535" s="1"/>
      <c r="G535" s="1"/>
      <c r="H535" s="640"/>
      <c r="I535" s="107"/>
    </row>
    <row r="536" spans="1:9" ht="20.25" customHeight="1">
      <c r="A536" s="1"/>
      <c r="B536" s="1"/>
      <c r="C536" s="1"/>
      <c r="D536" s="640"/>
      <c r="E536" s="640"/>
      <c r="F536" s="1"/>
      <c r="G536" s="1"/>
      <c r="H536" s="640"/>
      <c r="I536" s="107"/>
    </row>
    <row r="537" spans="1:9" ht="20.25" customHeight="1">
      <c r="A537" s="1"/>
      <c r="B537" s="1"/>
      <c r="C537" s="1"/>
      <c r="D537" s="640"/>
      <c r="E537" s="640"/>
      <c r="F537" s="1"/>
      <c r="G537" s="1"/>
      <c r="H537" s="640"/>
      <c r="I537" s="107"/>
    </row>
    <row r="538" spans="1:9" ht="20.25" customHeight="1">
      <c r="A538" s="1"/>
      <c r="B538" s="1"/>
      <c r="C538" s="1"/>
      <c r="D538" s="640"/>
      <c r="E538" s="640"/>
      <c r="F538" s="1"/>
      <c r="G538" s="1"/>
      <c r="H538" s="640"/>
      <c r="I538" s="107"/>
    </row>
    <row r="539" spans="1:9" ht="20.25" customHeight="1">
      <c r="A539" s="1"/>
      <c r="B539" s="1"/>
      <c r="C539" s="1"/>
      <c r="D539" s="640"/>
      <c r="E539" s="640"/>
      <c r="F539" s="1"/>
      <c r="G539" s="1"/>
      <c r="H539" s="640"/>
      <c r="I539" s="107"/>
    </row>
    <row r="540" spans="1:9" ht="20.25" customHeight="1">
      <c r="A540" s="1"/>
      <c r="B540" s="1"/>
      <c r="C540" s="1"/>
      <c r="D540" s="640"/>
      <c r="E540" s="640"/>
      <c r="F540" s="1"/>
      <c r="G540" s="1"/>
      <c r="H540" s="640"/>
      <c r="I540" s="107"/>
    </row>
    <row r="541" spans="1:9" ht="20.25" customHeight="1">
      <c r="A541" s="1"/>
      <c r="B541" s="1"/>
      <c r="C541" s="1"/>
      <c r="D541" s="640"/>
      <c r="E541" s="640"/>
      <c r="F541" s="1"/>
      <c r="G541" s="1"/>
      <c r="H541" s="640"/>
      <c r="I541" s="107"/>
    </row>
    <row r="542" spans="1:9" ht="20.25" customHeight="1">
      <c r="A542" s="1"/>
      <c r="B542" s="1"/>
      <c r="C542" s="1"/>
      <c r="D542" s="640"/>
      <c r="E542" s="640"/>
      <c r="F542" s="1"/>
      <c r="G542" s="1"/>
      <c r="H542" s="640"/>
      <c r="I542" s="107"/>
    </row>
    <row r="543" spans="1:9" ht="20.25" customHeight="1">
      <c r="A543" s="1"/>
      <c r="B543" s="1"/>
      <c r="C543" s="1"/>
      <c r="D543" s="640"/>
      <c r="E543" s="640"/>
      <c r="F543" s="1"/>
      <c r="G543" s="1"/>
      <c r="H543" s="640"/>
      <c r="I543" s="107"/>
    </row>
    <row r="544" spans="1:9" ht="20.25" customHeight="1">
      <c r="A544" s="1"/>
      <c r="B544" s="1"/>
      <c r="C544" s="1"/>
      <c r="D544" s="640"/>
      <c r="E544" s="640"/>
      <c r="F544" s="1"/>
      <c r="G544" s="1"/>
      <c r="H544" s="640"/>
      <c r="I544" s="107"/>
    </row>
    <row r="545" spans="1:9" ht="20.25" customHeight="1">
      <c r="A545" s="1"/>
      <c r="B545" s="1"/>
      <c r="C545" s="1"/>
      <c r="D545" s="640"/>
      <c r="E545" s="640"/>
      <c r="F545" s="1"/>
      <c r="G545" s="1"/>
      <c r="H545" s="640"/>
      <c r="I545" s="107"/>
    </row>
    <row r="546" spans="1:9" ht="20.25" customHeight="1">
      <c r="A546" s="1"/>
      <c r="B546" s="1"/>
      <c r="C546" s="1"/>
      <c r="D546" s="640"/>
      <c r="E546" s="640"/>
      <c r="F546" s="1"/>
      <c r="G546" s="1"/>
      <c r="H546" s="640"/>
      <c r="I546" s="107"/>
    </row>
    <row r="547" spans="1:9" ht="20.25" customHeight="1">
      <c r="A547" s="1"/>
      <c r="B547" s="1"/>
      <c r="C547" s="1"/>
      <c r="D547" s="640"/>
      <c r="E547" s="640"/>
      <c r="F547" s="1"/>
      <c r="G547" s="1"/>
      <c r="H547" s="640"/>
      <c r="I547" s="107"/>
    </row>
    <row r="548" spans="1:9" ht="20.25" customHeight="1">
      <c r="A548" s="1"/>
      <c r="B548" s="1"/>
      <c r="C548" s="1"/>
      <c r="D548" s="640"/>
      <c r="E548" s="640"/>
      <c r="F548" s="1"/>
      <c r="G548" s="1"/>
      <c r="H548" s="640"/>
      <c r="I548" s="107"/>
    </row>
    <row r="549" spans="1:9" ht="20.25" customHeight="1">
      <c r="A549" s="1"/>
      <c r="B549" s="1"/>
      <c r="C549" s="1"/>
      <c r="D549" s="640"/>
      <c r="E549" s="640"/>
      <c r="F549" s="1"/>
      <c r="G549" s="1"/>
      <c r="H549" s="640"/>
      <c r="I549" s="107"/>
    </row>
    <row r="550" spans="1:9" ht="20.25" customHeight="1">
      <c r="A550" s="1"/>
      <c r="B550" s="1"/>
      <c r="C550" s="1"/>
      <c r="D550" s="640"/>
      <c r="E550" s="640"/>
      <c r="F550" s="1"/>
      <c r="G550" s="1"/>
      <c r="H550" s="640"/>
      <c r="I550" s="107"/>
    </row>
    <row r="551" spans="1:9" ht="20.25" customHeight="1">
      <c r="A551" s="1"/>
      <c r="B551" s="1"/>
      <c r="C551" s="1"/>
      <c r="D551" s="640"/>
      <c r="E551" s="640"/>
      <c r="F551" s="1"/>
      <c r="G551" s="1"/>
      <c r="H551" s="640"/>
      <c r="I551" s="107"/>
    </row>
    <row r="552" spans="1:9" ht="20.25" customHeight="1">
      <c r="A552" s="1"/>
      <c r="B552" s="1"/>
      <c r="C552" s="1"/>
      <c r="D552" s="640"/>
      <c r="E552" s="640"/>
      <c r="F552" s="1"/>
      <c r="G552" s="1"/>
      <c r="H552" s="640"/>
      <c r="I552" s="107"/>
    </row>
    <row r="553" spans="1:9" ht="20.25" customHeight="1">
      <c r="A553" s="1"/>
      <c r="B553" s="1"/>
      <c r="C553" s="1"/>
      <c r="D553" s="640"/>
      <c r="E553" s="640"/>
      <c r="F553" s="1"/>
      <c r="G553" s="1"/>
      <c r="H553" s="640"/>
      <c r="I553" s="107"/>
    </row>
    <row r="554" spans="1:9" ht="20.25" customHeight="1">
      <c r="A554" s="1"/>
      <c r="B554" s="1"/>
      <c r="C554" s="1"/>
      <c r="D554" s="640"/>
      <c r="E554" s="640"/>
      <c r="F554" s="1"/>
      <c r="G554" s="1"/>
      <c r="H554" s="640"/>
      <c r="I554" s="107"/>
    </row>
    <row r="555" spans="1:9" ht="20.25" customHeight="1">
      <c r="A555" s="1"/>
      <c r="B555" s="1"/>
      <c r="C555" s="1"/>
      <c r="D555" s="640"/>
      <c r="E555" s="640"/>
      <c r="F555" s="1"/>
      <c r="G555" s="1"/>
      <c r="H555" s="640"/>
      <c r="I555" s="107"/>
    </row>
    <row r="556" spans="1:9" ht="20.25" customHeight="1">
      <c r="A556" s="1"/>
      <c r="B556" s="1"/>
      <c r="C556" s="1"/>
      <c r="D556" s="640"/>
      <c r="E556" s="640"/>
      <c r="F556" s="1"/>
      <c r="G556" s="1"/>
      <c r="H556" s="640"/>
      <c r="I556" s="107"/>
    </row>
    <row r="557" spans="1:9" ht="20.25" customHeight="1">
      <c r="A557" s="1"/>
      <c r="B557" s="1"/>
      <c r="C557" s="1"/>
      <c r="D557" s="640"/>
      <c r="E557" s="640"/>
      <c r="F557" s="1"/>
      <c r="G557" s="1"/>
      <c r="H557" s="640"/>
      <c r="I557" s="107"/>
    </row>
    <row r="558" spans="1:9" ht="20.25" customHeight="1">
      <c r="A558" s="1"/>
      <c r="B558" s="1"/>
      <c r="C558" s="1"/>
      <c r="D558" s="640"/>
      <c r="E558" s="640"/>
      <c r="F558" s="1"/>
      <c r="G558" s="1"/>
      <c r="H558" s="640"/>
      <c r="I558" s="107"/>
    </row>
    <row r="559" spans="1:9" ht="20.25" customHeight="1">
      <c r="A559" s="1"/>
      <c r="B559" s="1"/>
      <c r="C559" s="1"/>
      <c r="D559" s="640"/>
      <c r="E559" s="640"/>
      <c r="F559" s="1"/>
      <c r="G559" s="1"/>
      <c r="H559" s="640"/>
      <c r="I559" s="107"/>
    </row>
    <row r="560" spans="1:9" ht="20.25" customHeight="1">
      <c r="A560" s="1"/>
      <c r="B560" s="1"/>
      <c r="C560" s="1"/>
      <c r="D560" s="640"/>
      <c r="E560" s="640"/>
      <c r="F560" s="1"/>
      <c r="G560" s="1"/>
      <c r="H560" s="640"/>
      <c r="I560" s="107"/>
    </row>
    <row r="561" spans="1:9" ht="20.25" customHeight="1">
      <c r="A561" s="1"/>
      <c r="B561" s="1"/>
      <c r="C561" s="1"/>
      <c r="D561" s="640"/>
      <c r="E561" s="640"/>
      <c r="F561" s="1"/>
      <c r="G561" s="1"/>
      <c r="H561" s="640"/>
      <c r="I561" s="107"/>
    </row>
    <row r="562" spans="1:9" ht="20.25" customHeight="1">
      <c r="A562" s="1"/>
      <c r="B562" s="1"/>
      <c r="C562" s="1"/>
      <c r="D562" s="640"/>
      <c r="E562" s="640"/>
      <c r="F562" s="1"/>
      <c r="G562" s="1"/>
      <c r="H562" s="640"/>
      <c r="I562" s="107"/>
    </row>
    <row r="563" spans="1:9" ht="20.25" customHeight="1">
      <c r="A563" s="1"/>
      <c r="B563" s="1"/>
      <c r="C563" s="1"/>
      <c r="D563" s="640"/>
      <c r="E563" s="640"/>
      <c r="F563" s="1"/>
      <c r="G563" s="1"/>
      <c r="H563" s="640"/>
      <c r="I563" s="107"/>
    </row>
    <row r="564" spans="1:9" ht="20.25" customHeight="1">
      <c r="A564" s="1"/>
      <c r="B564" s="1"/>
      <c r="C564" s="1"/>
      <c r="D564" s="640"/>
      <c r="E564" s="640"/>
      <c r="F564" s="1"/>
      <c r="G564" s="1"/>
      <c r="H564" s="640"/>
      <c r="I564" s="107"/>
    </row>
    <row r="565" spans="1:9" ht="20.25" customHeight="1">
      <c r="A565" s="1"/>
      <c r="B565" s="1"/>
      <c r="C565" s="1"/>
      <c r="D565" s="640"/>
      <c r="E565" s="640"/>
      <c r="F565" s="1"/>
      <c r="G565" s="1"/>
      <c r="H565" s="640"/>
      <c r="I565" s="107"/>
    </row>
    <row r="566" spans="1:9" ht="20.25" customHeight="1">
      <c r="A566" s="1"/>
      <c r="B566" s="1"/>
      <c r="C566" s="1"/>
      <c r="D566" s="640"/>
      <c r="E566" s="640"/>
      <c r="F566" s="1"/>
      <c r="G566" s="1"/>
      <c r="H566" s="640"/>
      <c r="I566" s="107"/>
    </row>
    <row r="567" spans="1:9" ht="20.25" customHeight="1">
      <c r="A567" s="1"/>
      <c r="B567" s="1"/>
      <c r="C567" s="1"/>
      <c r="D567" s="640"/>
      <c r="E567" s="640"/>
      <c r="F567" s="1"/>
      <c r="G567" s="1"/>
      <c r="H567" s="640"/>
      <c r="I567" s="107"/>
    </row>
    <row r="568" spans="1:9" ht="20.25" customHeight="1">
      <c r="A568" s="1"/>
      <c r="B568" s="1"/>
      <c r="C568" s="1"/>
      <c r="D568" s="640"/>
      <c r="E568" s="640"/>
      <c r="F568" s="1"/>
      <c r="G568" s="1"/>
      <c r="H568" s="640"/>
      <c r="I568" s="107"/>
    </row>
    <row r="569" spans="1:9" ht="20.25" customHeight="1">
      <c r="A569" s="1"/>
      <c r="B569" s="1"/>
      <c r="C569" s="1"/>
      <c r="D569" s="640"/>
      <c r="E569" s="640"/>
      <c r="F569" s="1"/>
      <c r="G569" s="1"/>
      <c r="H569" s="640"/>
      <c r="I569" s="107"/>
    </row>
    <row r="570" spans="1:9" ht="20.25" customHeight="1">
      <c r="A570" s="1"/>
      <c r="B570" s="1"/>
      <c r="C570" s="1"/>
      <c r="D570" s="640"/>
      <c r="E570" s="640"/>
      <c r="F570" s="1"/>
      <c r="G570" s="1"/>
      <c r="H570" s="640"/>
      <c r="I570" s="107"/>
    </row>
    <row r="571" spans="1:9" ht="20.25" customHeight="1">
      <c r="A571" s="1"/>
      <c r="B571" s="1"/>
      <c r="C571" s="1"/>
      <c r="D571" s="640"/>
      <c r="E571" s="640"/>
      <c r="F571" s="1"/>
      <c r="G571" s="1"/>
      <c r="H571" s="640"/>
      <c r="I571" s="107"/>
    </row>
    <row r="572" spans="1:9" ht="20.25" customHeight="1">
      <c r="A572" s="1"/>
      <c r="B572" s="1"/>
      <c r="C572" s="1"/>
      <c r="D572" s="640"/>
      <c r="E572" s="640"/>
      <c r="F572" s="1"/>
      <c r="G572" s="1"/>
      <c r="H572" s="640"/>
      <c r="I572" s="107"/>
    </row>
    <row r="573" spans="1:9" ht="20.25" customHeight="1">
      <c r="A573" s="1"/>
      <c r="B573" s="1"/>
      <c r="C573" s="1"/>
      <c r="D573" s="640"/>
      <c r="E573" s="640"/>
      <c r="F573" s="1"/>
      <c r="G573" s="1"/>
      <c r="H573" s="640"/>
      <c r="I573" s="107"/>
    </row>
    <row r="574" spans="1:9" ht="20.25" customHeight="1">
      <c r="A574" s="1"/>
      <c r="B574" s="1"/>
      <c r="C574" s="1"/>
      <c r="D574" s="640"/>
      <c r="E574" s="640"/>
      <c r="F574" s="1"/>
      <c r="G574" s="1"/>
      <c r="H574" s="640"/>
      <c r="I574" s="107"/>
    </row>
    <row r="575" spans="1:9" ht="20.25" customHeight="1">
      <c r="A575" s="1"/>
      <c r="B575" s="1"/>
      <c r="C575" s="1"/>
      <c r="D575" s="640"/>
      <c r="E575" s="640"/>
      <c r="F575" s="1"/>
      <c r="G575" s="1"/>
      <c r="H575" s="640"/>
      <c r="I575" s="107"/>
    </row>
    <row r="576" spans="1:9" ht="20.25" customHeight="1">
      <c r="A576" s="1"/>
      <c r="B576" s="1"/>
      <c r="C576" s="1"/>
      <c r="D576" s="640"/>
      <c r="E576" s="640"/>
      <c r="F576" s="1"/>
      <c r="G576" s="1"/>
      <c r="H576" s="640"/>
      <c r="I576" s="107"/>
    </row>
    <row r="577" spans="1:9" ht="20.25" customHeight="1">
      <c r="A577" s="1"/>
      <c r="B577" s="1"/>
      <c r="C577" s="1"/>
      <c r="D577" s="640"/>
      <c r="E577" s="640"/>
      <c r="F577" s="1"/>
      <c r="G577" s="1"/>
      <c r="H577" s="640"/>
      <c r="I577" s="107"/>
    </row>
    <row r="578" spans="1:9" ht="20.25" customHeight="1">
      <c r="A578" s="1"/>
      <c r="B578" s="1"/>
      <c r="C578" s="1"/>
      <c r="D578" s="640"/>
      <c r="E578" s="640"/>
      <c r="F578" s="1"/>
      <c r="G578" s="1"/>
      <c r="H578" s="640"/>
      <c r="I578" s="107"/>
    </row>
    <row r="579" spans="1:9" ht="20.25" customHeight="1">
      <c r="A579" s="1"/>
      <c r="B579" s="1"/>
      <c r="C579" s="1"/>
      <c r="D579" s="640"/>
      <c r="E579" s="640"/>
      <c r="F579" s="1"/>
      <c r="G579" s="1"/>
      <c r="H579" s="640"/>
      <c r="I579" s="107"/>
    </row>
    <row r="580" spans="1:9" ht="20.25" customHeight="1">
      <c r="A580" s="1"/>
      <c r="B580" s="1"/>
      <c r="C580" s="1"/>
      <c r="D580" s="640"/>
      <c r="E580" s="640"/>
      <c r="F580" s="1"/>
      <c r="G580" s="1"/>
      <c r="H580" s="640"/>
      <c r="I580" s="107"/>
    </row>
    <row r="581" spans="1:9" ht="20.25" customHeight="1">
      <c r="A581" s="1"/>
      <c r="B581" s="1"/>
      <c r="C581" s="1"/>
      <c r="D581" s="640"/>
      <c r="E581" s="640"/>
      <c r="F581" s="1"/>
      <c r="G581" s="1"/>
      <c r="H581" s="640"/>
      <c r="I581" s="107"/>
    </row>
    <row r="582" spans="1:9" ht="20.25" customHeight="1">
      <c r="A582" s="1"/>
      <c r="B582" s="1"/>
      <c r="C582" s="1"/>
      <c r="D582" s="640"/>
      <c r="E582" s="640"/>
      <c r="F582" s="1"/>
      <c r="G582" s="1"/>
      <c r="H582" s="640"/>
      <c r="I582" s="107"/>
    </row>
    <row r="583" spans="1:9" ht="20.25" customHeight="1">
      <c r="A583" s="1"/>
      <c r="B583" s="1"/>
      <c r="C583" s="1"/>
      <c r="D583" s="640"/>
      <c r="E583" s="640"/>
      <c r="F583" s="1"/>
      <c r="G583" s="1"/>
      <c r="H583" s="640"/>
      <c r="I583" s="107"/>
    </row>
    <row r="584" spans="1:9" ht="20.25" customHeight="1">
      <c r="A584" s="1"/>
      <c r="B584" s="1"/>
      <c r="C584" s="1"/>
      <c r="D584" s="640"/>
      <c r="E584" s="640"/>
      <c r="F584" s="1"/>
      <c r="G584" s="1"/>
      <c r="H584" s="640"/>
      <c r="I584" s="107"/>
    </row>
    <row r="585" spans="1:9" ht="20.25" customHeight="1">
      <c r="A585" s="1"/>
      <c r="B585" s="1"/>
      <c r="C585" s="1"/>
      <c r="D585" s="640"/>
      <c r="E585" s="640"/>
      <c r="F585" s="1"/>
      <c r="G585" s="1"/>
      <c r="H585" s="640"/>
      <c r="I585" s="107"/>
    </row>
    <row r="586" spans="1:9" ht="20.25" customHeight="1">
      <c r="A586" s="1"/>
      <c r="B586" s="1"/>
      <c r="C586" s="1"/>
      <c r="D586" s="640"/>
      <c r="E586" s="640"/>
      <c r="F586" s="1"/>
      <c r="G586" s="1"/>
      <c r="H586" s="640"/>
      <c r="I586" s="107"/>
    </row>
    <row r="587" spans="1:9" ht="20.25" customHeight="1">
      <c r="A587" s="1"/>
      <c r="B587" s="1"/>
      <c r="C587" s="1"/>
      <c r="D587" s="640"/>
      <c r="E587" s="640"/>
      <c r="F587" s="1"/>
      <c r="G587" s="1"/>
      <c r="H587" s="640"/>
      <c r="I587" s="107"/>
    </row>
    <row r="588" spans="1:9" ht="20.25" customHeight="1">
      <c r="A588" s="1"/>
      <c r="B588" s="1"/>
      <c r="C588" s="1"/>
      <c r="D588" s="640"/>
      <c r="E588" s="640"/>
      <c r="F588" s="1"/>
      <c r="G588" s="1"/>
      <c r="H588" s="640"/>
      <c r="I588" s="107"/>
    </row>
    <row r="589" spans="1:9" ht="20.25" customHeight="1">
      <c r="A589" s="1"/>
      <c r="B589" s="1"/>
      <c r="C589" s="1"/>
      <c r="D589" s="640"/>
      <c r="E589" s="640"/>
      <c r="F589" s="1"/>
      <c r="G589" s="1"/>
      <c r="H589" s="640"/>
      <c r="I589" s="107"/>
    </row>
    <row r="590" spans="1:9" ht="20.25" customHeight="1">
      <c r="A590" s="1"/>
      <c r="B590" s="1"/>
      <c r="C590" s="1"/>
      <c r="D590" s="640"/>
      <c r="E590" s="640"/>
      <c r="F590" s="1"/>
      <c r="G590" s="1"/>
      <c r="H590" s="640"/>
      <c r="I590" s="107"/>
    </row>
    <row r="591" spans="1:9" ht="20.25" customHeight="1">
      <c r="A591" s="1"/>
      <c r="B591" s="1"/>
      <c r="C591" s="1"/>
      <c r="D591" s="640"/>
      <c r="E591" s="640"/>
      <c r="F591" s="1"/>
      <c r="G591" s="1"/>
      <c r="H591" s="640"/>
      <c r="I591" s="107"/>
    </row>
    <row r="592" spans="1:9" ht="20.25" customHeight="1">
      <c r="A592" s="1"/>
      <c r="B592" s="1"/>
      <c r="C592" s="1"/>
      <c r="D592" s="640"/>
      <c r="E592" s="640"/>
      <c r="F592" s="1"/>
      <c r="G592" s="1"/>
      <c r="H592" s="640"/>
      <c r="I592" s="107"/>
    </row>
    <row r="593" spans="1:9" ht="20.25" customHeight="1">
      <c r="A593" s="1"/>
      <c r="B593" s="1"/>
      <c r="C593" s="1"/>
      <c r="D593" s="640"/>
      <c r="E593" s="640"/>
      <c r="F593" s="1"/>
      <c r="G593" s="1"/>
      <c r="H593" s="640"/>
      <c r="I593" s="107"/>
    </row>
    <row r="594" spans="1:9" ht="20.25" customHeight="1">
      <c r="A594" s="1"/>
      <c r="B594" s="1"/>
      <c r="C594" s="1"/>
      <c r="D594" s="640"/>
      <c r="E594" s="640"/>
      <c r="F594" s="1"/>
      <c r="G594" s="1"/>
      <c r="H594" s="640"/>
      <c r="I594" s="107"/>
    </row>
    <row r="595" spans="1:9" ht="20.25" customHeight="1">
      <c r="A595" s="1"/>
      <c r="B595" s="1"/>
      <c r="C595" s="1"/>
      <c r="D595" s="640"/>
      <c r="E595" s="640"/>
      <c r="F595" s="1"/>
      <c r="G595" s="1"/>
      <c r="H595" s="640"/>
      <c r="I595" s="107"/>
    </row>
    <row r="596" spans="1:9" ht="20.25" customHeight="1">
      <c r="A596" s="1"/>
      <c r="B596" s="1"/>
      <c r="C596" s="1"/>
      <c r="D596" s="640"/>
      <c r="E596" s="640"/>
      <c r="F596" s="1"/>
      <c r="G596" s="1"/>
      <c r="H596" s="640"/>
      <c r="I596" s="107"/>
    </row>
    <row r="597" spans="1:9" ht="20.25" customHeight="1">
      <c r="A597" s="1"/>
      <c r="B597" s="1"/>
      <c r="C597" s="1"/>
      <c r="D597" s="640"/>
      <c r="E597" s="640"/>
      <c r="F597" s="1"/>
      <c r="G597" s="1"/>
      <c r="H597" s="640"/>
      <c r="I597" s="107"/>
    </row>
    <row r="598" spans="1:9" ht="20.25" customHeight="1">
      <c r="A598" s="1"/>
      <c r="B598" s="1"/>
      <c r="C598" s="1"/>
      <c r="D598" s="640"/>
      <c r="E598" s="640"/>
      <c r="F598" s="1"/>
      <c r="G598" s="1"/>
      <c r="H598" s="640"/>
      <c r="I598" s="107"/>
    </row>
    <row r="599" spans="1:9" ht="20.25" customHeight="1">
      <c r="A599" s="1"/>
      <c r="B599" s="1"/>
      <c r="C599" s="1"/>
      <c r="D599" s="640"/>
      <c r="E599" s="640"/>
      <c r="F599" s="1"/>
      <c r="G599" s="1"/>
      <c r="H599" s="640"/>
      <c r="I599" s="107"/>
    </row>
    <row r="600" spans="1:9" ht="20.25" customHeight="1">
      <c r="A600" s="1"/>
      <c r="B600" s="1"/>
      <c r="C600" s="1"/>
      <c r="D600" s="640"/>
      <c r="E600" s="640"/>
      <c r="F600" s="1"/>
      <c r="G600" s="1"/>
      <c r="H600" s="640"/>
      <c r="I600" s="107"/>
    </row>
    <row r="601" spans="1:9" ht="20.25" customHeight="1">
      <c r="A601" s="1"/>
      <c r="B601" s="1"/>
      <c r="C601" s="1"/>
      <c r="D601" s="640"/>
      <c r="E601" s="640"/>
      <c r="F601" s="1"/>
      <c r="G601" s="1"/>
      <c r="H601" s="640"/>
      <c r="I601" s="107"/>
    </row>
    <row r="602" spans="1:9" ht="20.25" customHeight="1">
      <c r="A602" s="1"/>
      <c r="B602" s="1"/>
      <c r="C602" s="1"/>
      <c r="D602" s="640"/>
      <c r="E602" s="640"/>
      <c r="F602" s="1"/>
      <c r="G602" s="1"/>
      <c r="H602" s="640"/>
      <c r="I602" s="107"/>
    </row>
    <row r="603" spans="1:9" ht="20.25" customHeight="1">
      <c r="A603" s="1"/>
      <c r="B603" s="1"/>
      <c r="C603" s="1"/>
      <c r="D603" s="640"/>
      <c r="E603" s="640"/>
      <c r="F603" s="1"/>
      <c r="G603" s="1"/>
      <c r="H603" s="640"/>
      <c r="I603" s="107"/>
    </row>
    <row r="604" spans="1:9" ht="20.25" customHeight="1">
      <c r="A604" s="1"/>
      <c r="B604" s="1"/>
      <c r="C604" s="1"/>
      <c r="D604" s="640"/>
      <c r="E604" s="640"/>
      <c r="F604" s="1"/>
      <c r="G604" s="1"/>
      <c r="H604" s="640"/>
      <c r="I604" s="107"/>
    </row>
    <row r="605" spans="1:9" ht="20.25" customHeight="1">
      <c r="A605" s="1"/>
      <c r="B605" s="1"/>
      <c r="C605" s="1"/>
      <c r="D605" s="640"/>
      <c r="E605" s="640"/>
      <c r="F605" s="1"/>
      <c r="G605" s="1"/>
      <c r="H605" s="640"/>
      <c r="I605" s="107"/>
    </row>
    <row r="606" spans="1:9" ht="20.25" customHeight="1">
      <c r="A606" s="1"/>
      <c r="B606" s="1"/>
      <c r="C606" s="1"/>
      <c r="D606" s="640"/>
      <c r="E606" s="640"/>
      <c r="F606" s="1"/>
      <c r="G606" s="1"/>
      <c r="H606" s="640"/>
      <c r="I606" s="107"/>
    </row>
    <row r="607" spans="1:9" ht="20.25" customHeight="1">
      <c r="A607" s="1"/>
      <c r="B607" s="1"/>
      <c r="C607" s="1"/>
      <c r="D607" s="640"/>
      <c r="E607" s="640"/>
      <c r="F607" s="1"/>
      <c r="G607" s="1"/>
      <c r="H607" s="640"/>
      <c r="I607" s="107"/>
    </row>
    <row r="608" spans="1:9" ht="20.25" customHeight="1">
      <c r="A608" s="1"/>
      <c r="B608" s="1"/>
      <c r="C608" s="1"/>
      <c r="D608" s="640"/>
      <c r="E608" s="640"/>
      <c r="F608" s="1"/>
      <c r="G608" s="1"/>
      <c r="H608" s="640"/>
      <c r="I608" s="107"/>
    </row>
    <row r="609" spans="1:9" ht="20.25" customHeight="1">
      <c r="A609" s="1"/>
      <c r="B609" s="1"/>
      <c r="C609" s="1"/>
      <c r="D609" s="640"/>
      <c r="E609" s="640"/>
      <c r="F609" s="1"/>
      <c r="G609" s="1"/>
      <c r="H609" s="640"/>
      <c r="I609" s="107"/>
    </row>
    <row r="610" spans="1:9" ht="20.25" customHeight="1">
      <c r="A610" s="1"/>
      <c r="B610" s="1"/>
      <c r="C610" s="1"/>
      <c r="D610" s="640"/>
      <c r="E610" s="640"/>
      <c r="F610" s="1"/>
      <c r="G610" s="1"/>
      <c r="H610" s="640"/>
      <c r="I610" s="107"/>
    </row>
    <row r="611" spans="1:9" ht="20.25" customHeight="1">
      <c r="A611" s="1"/>
      <c r="B611" s="1"/>
      <c r="C611" s="1"/>
      <c r="D611" s="640"/>
      <c r="E611" s="640"/>
      <c r="F611" s="1"/>
      <c r="G611" s="1"/>
      <c r="H611" s="640"/>
      <c r="I611" s="107"/>
    </row>
    <row r="612" spans="1:9" ht="20.25" customHeight="1">
      <c r="A612" s="1"/>
      <c r="B612" s="1"/>
      <c r="C612" s="1"/>
      <c r="D612" s="640"/>
      <c r="E612" s="640"/>
      <c r="F612" s="1"/>
      <c r="G612" s="1"/>
      <c r="H612" s="640"/>
      <c r="I612" s="107"/>
    </row>
    <row r="613" spans="1:9" ht="20.25" customHeight="1">
      <c r="A613" s="1"/>
      <c r="B613" s="1"/>
      <c r="C613" s="1"/>
      <c r="D613" s="640"/>
      <c r="E613" s="640"/>
      <c r="F613" s="1"/>
      <c r="G613" s="1"/>
      <c r="H613" s="640"/>
      <c r="I613" s="107"/>
    </row>
    <row r="614" spans="1:9" ht="20.25" customHeight="1">
      <c r="A614" s="1"/>
      <c r="B614" s="1"/>
      <c r="C614" s="1"/>
      <c r="D614" s="640"/>
      <c r="E614" s="640"/>
      <c r="F614" s="1"/>
      <c r="G614" s="1"/>
      <c r="H614" s="640"/>
      <c r="I614" s="107"/>
    </row>
    <row r="615" spans="1:9" ht="20.25" customHeight="1">
      <c r="A615" s="1"/>
      <c r="B615" s="1"/>
      <c r="C615" s="1"/>
      <c r="D615" s="640"/>
      <c r="E615" s="640"/>
      <c r="F615" s="1"/>
      <c r="G615" s="1"/>
      <c r="H615" s="640"/>
      <c r="I615" s="107"/>
    </row>
    <row r="616" spans="1:9" ht="20.25" customHeight="1">
      <c r="A616" s="1"/>
      <c r="B616" s="1"/>
      <c r="C616" s="1"/>
      <c r="D616" s="640"/>
      <c r="E616" s="640"/>
      <c r="F616" s="1"/>
      <c r="G616" s="1"/>
      <c r="H616" s="640"/>
      <c r="I616" s="107"/>
    </row>
    <row r="617" spans="1:9" ht="20.25" customHeight="1">
      <c r="A617" s="1"/>
      <c r="B617" s="1"/>
      <c r="C617" s="1"/>
      <c r="D617" s="640"/>
      <c r="E617" s="640"/>
      <c r="F617" s="1"/>
      <c r="G617" s="1"/>
      <c r="H617" s="640"/>
      <c r="I617" s="107"/>
    </row>
    <row r="618" spans="1:9" ht="20.25" customHeight="1">
      <c r="A618" s="1"/>
      <c r="B618" s="1"/>
      <c r="C618" s="1"/>
      <c r="D618" s="640"/>
      <c r="E618" s="640"/>
      <c r="F618" s="1"/>
      <c r="G618" s="1"/>
      <c r="H618" s="640"/>
      <c r="I618" s="107"/>
    </row>
    <row r="619" spans="1:9" ht="20.25" customHeight="1">
      <c r="A619" s="1"/>
      <c r="B619" s="1"/>
      <c r="C619" s="1"/>
      <c r="D619" s="640"/>
      <c r="E619" s="640"/>
      <c r="F619" s="1"/>
      <c r="G619" s="1"/>
      <c r="H619" s="640"/>
      <c r="I619" s="107"/>
    </row>
    <row r="620" spans="1:9" ht="20.25" customHeight="1">
      <c r="A620" s="1"/>
      <c r="B620" s="1"/>
      <c r="C620" s="1"/>
      <c r="D620" s="640"/>
      <c r="E620" s="640"/>
      <c r="F620" s="1"/>
      <c r="G620" s="1"/>
      <c r="H620" s="640"/>
      <c r="I620" s="107"/>
    </row>
    <row r="621" spans="1:9" ht="20.25" customHeight="1">
      <c r="A621" s="1"/>
      <c r="B621" s="1"/>
      <c r="C621" s="1"/>
      <c r="D621" s="640"/>
      <c r="E621" s="640"/>
      <c r="F621" s="1"/>
      <c r="G621" s="1"/>
      <c r="H621" s="640"/>
      <c r="I621" s="107"/>
    </row>
    <row r="622" spans="1:9" ht="20.25" customHeight="1">
      <c r="A622" s="1"/>
      <c r="B622" s="1"/>
      <c r="C622" s="1"/>
      <c r="D622" s="640"/>
      <c r="E622" s="640"/>
      <c r="F622" s="1"/>
      <c r="G622" s="1"/>
      <c r="H622" s="640"/>
      <c r="I622" s="107"/>
    </row>
    <row r="623" spans="1:9" ht="20.25" customHeight="1">
      <c r="A623" s="1"/>
      <c r="B623" s="1"/>
      <c r="C623" s="1"/>
      <c r="D623" s="640"/>
      <c r="E623" s="640"/>
      <c r="F623" s="1"/>
      <c r="G623" s="1"/>
      <c r="H623" s="640"/>
      <c r="I623" s="107"/>
    </row>
    <row r="624" spans="1:9" ht="20.25" customHeight="1">
      <c r="A624" s="1"/>
      <c r="B624" s="1"/>
      <c r="C624" s="1"/>
      <c r="D624" s="640"/>
      <c r="E624" s="640"/>
      <c r="F624" s="1"/>
      <c r="G624" s="1"/>
      <c r="H624" s="640"/>
      <c r="I624" s="107"/>
    </row>
    <row r="625" spans="1:9" ht="20.25" customHeight="1">
      <c r="A625" s="1"/>
      <c r="B625" s="1"/>
      <c r="C625" s="1"/>
      <c r="D625" s="640"/>
      <c r="E625" s="640"/>
      <c r="F625" s="1"/>
      <c r="G625" s="1"/>
      <c r="H625" s="640"/>
      <c r="I625" s="107"/>
    </row>
    <row r="626" spans="1:9" ht="20.25" customHeight="1">
      <c r="A626" s="1"/>
      <c r="B626" s="1"/>
      <c r="C626" s="1"/>
      <c r="D626" s="640"/>
      <c r="E626" s="640"/>
      <c r="F626" s="1"/>
      <c r="G626" s="1"/>
      <c r="H626" s="640"/>
      <c r="I626" s="107"/>
    </row>
    <row r="627" spans="1:9" ht="20.25" customHeight="1">
      <c r="A627" s="1"/>
      <c r="B627" s="1"/>
      <c r="C627" s="1"/>
      <c r="D627" s="640"/>
      <c r="E627" s="640"/>
      <c r="F627" s="1"/>
      <c r="G627" s="1"/>
      <c r="H627" s="640"/>
      <c r="I627" s="107"/>
    </row>
    <row r="628" spans="1:9" ht="20.25" customHeight="1">
      <c r="A628" s="1"/>
      <c r="B628" s="1"/>
      <c r="C628" s="1"/>
      <c r="D628" s="640"/>
      <c r="E628" s="640"/>
      <c r="F628" s="1"/>
      <c r="G628" s="1"/>
      <c r="H628" s="640"/>
      <c r="I628" s="107"/>
    </row>
    <row r="629" spans="1:9" ht="20.25" customHeight="1">
      <c r="A629" s="1"/>
      <c r="B629" s="1"/>
      <c r="C629" s="1"/>
      <c r="D629" s="640"/>
      <c r="E629" s="640"/>
      <c r="F629" s="1"/>
      <c r="G629" s="1"/>
      <c r="H629" s="640"/>
      <c r="I629" s="107"/>
    </row>
    <row r="630" spans="1:9" ht="20.25" customHeight="1">
      <c r="A630" s="1"/>
      <c r="B630" s="1"/>
      <c r="C630" s="1"/>
      <c r="D630" s="640"/>
      <c r="E630" s="640"/>
      <c r="F630" s="1"/>
      <c r="G630" s="1"/>
      <c r="H630" s="640"/>
      <c r="I630" s="107"/>
    </row>
    <row r="631" spans="1:9" ht="20.25" customHeight="1">
      <c r="A631" s="1"/>
      <c r="B631" s="1"/>
      <c r="C631" s="1"/>
      <c r="D631" s="640"/>
      <c r="E631" s="640"/>
      <c r="F631" s="1"/>
      <c r="G631" s="1"/>
      <c r="H631" s="640"/>
      <c r="I631" s="107"/>
    </row>
    <row r="632" spans="1:9" ht="20.25" customHeight="1">
      <c r="A632" s="1"/>
      <c r="B632" s="1"/>
      <c r="C632" s="1"/>
      <c r="D632" s="640"/>
      <c r="E632" s="640"/>
      <c r="F632" s="1"/>
      <c r="G632" s="1"/>
      <c r="H632" s="640"/>
      <c r="I632" s="107"/>
    </row>
    <row r="633" spans="1:9" ht="20.25" customHeight="1">
      <c r="A633" s="1"/>
      <c r="B633" s="1"/>
      <c r="C633" s="1"/>
      <c r="D633" s="640"/>
      <c r="E633" s="640"/>
      <c r="F633" s="1"/>
      <c r="G633" s="1"/>
      <c r="H633" s="640"/>
      <c r="I633" s="107"/>
    </row>
    <row r="634" spans="1:9" ht="20.25" customHeight="1">
      <c r="A634" s="1"/>
      <c r="B634" s="1"/>
      <c r="C634" s="1"/>
      <c r="D634" s="640"/>
      <c r="E634" s="640"/>
      <c r="F634" s="1"/>
      <c r="G634" s="1"/>
      <c r="H634" s="640"/>
      <c r="I634" s="107"/>
    </row>
    <row r="635" spans="1:9" ht="20.25" customHeight="1">
      <c r="A635" s="1"/>
      <c r="B635" s="1"/>
      <c r="C635" s="1"/>
      <c r="D635" s="640"/>
      <c r="E635" s="640"/>
      <c r="F635" s="1"/>
      <c r="G635" s="1"/>
      <c r="H635" s="640"/>
      <c r="I635" s="107"/>
    </row>
    <row r="636" spans="1:9" ht="20.25" customHeight="1">
      <c r="A636" s="1"/>
      <c r="B636" s="1"/>
      <c r="C636" s="1"/>
      <c r="D636" s="640"/>
      <c r="E636" s="640"/>
      <c r="F636" s="1"/>
      <c r="G636" s="1"/>
      <c r="H636" s="640"/>
      <c r="I636" s="107"/>
    </row>
    <row r="637" spans="1:9" ht="20.25" customHeight="1">
      <c r="A637" s="1"/>
      <c r="B637" s="1"/>
      <c r="C637" s="1"/>
      <c r="D637" s="640"/>
      <c r="E637" s="640"/>
      <c r="F637" s="1"/>
      <c r="G637" s="1"/>
      <c r="H637" s="640"/>
      <c r="I637" s="107"/>
    </row>
    <row r="638" spans="1:9" ht="20.25" customHeight="1">
      <c r="A638" s="1"/>
      <c r="B638" s="1"/>
      <c r="C638" s="1"/>
      <c r="D638" s="640"/>
      <c r="E638" s="640"/>
      <c r="F638" s="1"/>
      <c r="G638" s="1"/>
      <c r="H638" s="640"/>
      <c r="I638" s="107"/>
    </row>
    <row r="639" spans="1:9" ht="20.25" customHeight="1">
      <c r="A639" s="1"/>
      <c r="B639" s="1"/>
      <c r="C639" s="1"/>
      <c r="D639" s="640"/>
      <c r="E639" s="640"/>
      <c r="F639" s="1"/>
      <c r="G639" s="1"/>
      <c r="H639" s="640"/>
      <c r="I639" s="107"/>
    </row>
    <row r="640" spans="1:9" ht="20.25" customHeight="1">
      <c r="A640" s="1"/>
      <c r="B640" s="1"/>
      <c r="C640" s="1"/>
      <c r="D640" s="640"/>
      <c r="E640" s="640"/>
      <c r="F640" s="1"/>
      <c r="G640" s="1"/>
      <c r="H640" s="640"/>
      <c r="I640" s="107"/>
    </row>
    <row r="641" spans="1:9" ht="20.25" customHeight="1">
      <c r="A641" s="1"/>
      <c r="B641" s="1"/>
      <c r="C641" s="1"/>
      <c r="D641" s="640"/>
      <c r="E641" s="640"/>
      <c r="F641" s="1"/>
      <c r="G641" s="1"/>
      <c r="H641" s="640"/>
      <c r="I641" s="107"/>
    </row>
    <row r="642" spans="1:9" ht="20.25" customHeight="1">
      <c r="A642" s="1"/>
      <c r="B642" s="1"/>
      <c r="C642" s="1"/>
      <c r="D642" s="640"/>
      <c r="E642" s="640"/>
      <c r="F642" s="1"/>
      <c r="G642" s="1"/>
      <c r="H642" s="640"/>
      <c r="I642" s="107"/>
    </row>
    <row r="643" spans="1:9" ht="20.25" customHeight="1">
      <c r="A643" s="1"/>
      <c r="B643" s="1"/>
      <c r="C643" s="1"/>
      <c r="D643" s="640"/>
      <c r="E643" s="640"/>
      <c r="F643" s="1"/>
      <c r="G643" s="1"/>
      <c r="H643" s="640"/>
      <c r="I643" s="107"/>
    </row>
    <row r="644" spans="1:9" ht="20.25" customHeight="1">
      <c r="A644" s="1"/>
      <c r="B644" s="1"/>
      <c r="C644" s="1"/>
      <c r="D644" s="640"/>
      <c r="E644" s="640"/>
      <c r="F644" s="1"/>
      <c r="G644" s="1"/>
      <c r="H644" s="640"/>
      <c r="I644" s="107"/>
    </row>
    <row r="645" spans="1:9" ht="20.25" customHeight="1">
      <c r="A645" s="1"/>
      <c r="B645" s="1"/>
      <c r="C645" s="1"/>
      <c r="D645" s="640"/>
      <c r="E645" s="640"/>
      <c r="F645" s="1"/>
      <c r="G645" s="1"/>
      <c r="H645" s="640"/>
      <c r="I645" s="107"/>
    </row>
    <row r="646" spans="1:9" ht="20.25" customHeight="1">
      <c r="A646" s="1"/>
      <c r="B646" s="1"/>
      <c r="C646" s="1"/>
      <c r="D646" s="640"/>
      <c r="E646" s="640"/>
      <c r="F646" s="1"/>
      <c r="G646" s="1"/>
      <c r="H646" s="640"/>
      <c r="I646" s="107"/>
    </row>
    <row r="647" spans="1:9" ht="20.25" customHeight="1">
      <c r="A647" s="1"/>
      <c r="B647" s="1"/>
      <c r="C647" s="1"/>
      <c r="D647" s="640"/>
      <c r="E647" s="640"/>
      <c r="F647" s="1"/>
      <c r="G647" s="1"/>
      <c r="H647" s="640"/>
      <c r="I647" s="107"/>
    </row>
    <row r="648" spans="1:9" ht="20.25" customHeight="1">
      <c r="A648" s="1"/>
      <c r="B648" s="1"/>
      <c r="C648" s="1"/>
      <c r="D648" s="640"/>
      <c r="E648" s="640"/>
      <c r="F648" s="1"/>
      <c r="G648" s="1"/>
      <c r="H648" s="640"/>
      <c r="I648" s="107"/>
    </row>
    <row r="649" spans="1:9" ht="20.25" customHeight="1">
      <c r="A649" s="1"/>
      <c r="B649" s="1"/>
      <c r="C649" s="1"/>
      <c r="D649" s="640"/>
      <c r="E649" s="640"/>
      <c r="F649" s="1"/>
      <c r="G649" s="1"/>
      <c r="H649" s="640"/>
      <c r="I649" s="107"/>
    </row>
    <row r="650" spans="1:9" ht="20.25" customHeight="1">
      <c r="A650" s="1"/>
      <c r="B650" s="1"/>
      <c r="C650" s="1"/>
      <c r="D650" s="640"/>
      <c r="E650" s="640"/>
      <c r="F650" s="1"/>
      <c r="G650" s="1"/>
      <c r="H650" s="640"/>
      <c r="I650" s="107"/>
    </row>
    <row r="651" spans="1:9" ht="20.25" customHeight="1">
      <c r="A651" s="1"/>
      <c r="B651" s="1"/>
      <c r="C651" s="1"/>
      <c r="D651" s="640"/>
      <c r="E651" s="640"/>
      <c r="F651" s="1"/>
      <c r="G651" s="1"/>
      <c r="H651" s="640"/>
      <c r="I651" s="107"/>
    </row>
    <row r="652" spans="1:9" ht="20.25" customHeight="1">
      <c r="A652" s="1"/>
      <c r="B652" s="1"/>
      <c r="C652" s="1"/>
      <c r="D652" s="640"/>
      <c r="E652" s="640"/>
      <c r="F652" s="1"/>
      <c r="G652" s="1"/>
      <c r="H652" s="640"/>
      <c r="I652" s="107"/>
    </row>
    <row r="653" spans="1:9" ht="20.25" customHeight="1">
      <c r="A653" s="1"/>
      <c r="B653" s="1"/>
      <c r="C653" s="1"/>
      <c r="D653" s="640"/>
      <c r="E653" s="640"/>
      <c r="F653" s="1"/>
      <c r="G653" s="1"/>
      <c r="H653" s="640"/>
      <c r="I653" s="107"/>
    </row>
    <row r="654" spans="1:9" ht="20.25" customHeight="1">
      <c r="A654" s="1"/>
      <c r="B654" s="1"/>
      <c r="C654" s="1"/>
      <c r="D654" s="640"/>
      <c r="E654" s="640"/>
      <c r="F654" s="1"/>
      <c r="G654" s="1"/>
      <c r="H654" s="640"/>
      <c r="I654" s="107"/>
    </row>
    <row r="655" spans="1:9" ht="20.25" customHeight="1">
      <c r="A655" s="1"/>
      <c r="B655" s="1"/>
      <c r="C655" s="1"/>
      <c r="D655" s="640"/>
      <c r="E655" s="640"/>
      <c r="F655" s="1"/>
      <c r="G655" s="1"/>
      <c r="H655" s="640"/>
      <c r="I655" s="107"/>
    </row>
    <row r="656" spans="1:9" ht="20.25" customHeight="1">
      <c r="A656" s="1"/>
      <c r="B656" s="1"/>
      <c r="C656" s="1"/>
      <c r="D656" s="640"/>
      <c r="E656" s="640"/>
      <c r="F656" s="1"/>
      <c r="G656" s="1"/>
      <c r="H656" s="640"/>
      <c r="I656" s="107"/>
    </row>
    <row r="657" spans="1:9" ht="20.25" customHeight="1">
      <c r="A657" s="1"/>
      <c r="B657" s="1"/>
      <c r="C657" s="1"/>
      <c r="D657" s="640"/>
      <c r="E657" s="640"/>
      <c r="F657" s="1"/>
      <c r="G657" s="1"/>
      <c r="H657" s="640"/>
      <c r="I657" s="107"/>
    </row>
    <row r="658" spans="1:9" ht="20.25" customHeight="1">
      <c r="A658" s="1"/>
      <c r="B658" s="1"/>
      <c r="C658" s="1"/>
      <c r="D658" s="640"/>
      <c r="E658" s="640"/>
      <c r="F658" s="1"/>
      <c r="G658" s="1"/>
      <c r="H658" s="640"/>
      <c r="I658" s="107"/>
    </row>
    <row r="659" spans="1:9" ht="20.25" customHeight="1">
      <c r="A659" s="1"/>
      <c r="B659" s="1"/>
      <c r="C659" s="1"/>
      <c r="D659" s="640"/>
      <c r="E659" s="640"/>
      <c r="F659" s="1"/>
      <c r="G659" s="1"/>
      <c r="H659" s="640"/>
      <c r="I659" s="107"/>
    </row>
    <row r="660" spans="1:9" ht="20.25" customHeight="1">
      <c r="A660" s="1"/>
      <c r="B660" s="1"/>
      <c r="C660" s="1"/>
      <c r="D660" s="640"/>
      <c r="E660" s="640"/>
      <c r="F660" s="1"/>
      <c r="G660" s="1"/>
      <c r="H660" s="640"/>
      <c r="I660" s="107"/>
    </row>
    <row r="661" spans="1:9" ht="20.25" customHeight="1">
      <c r="A661" s="1"/>
      <c r="B661" s="1"/>
      <c r="C661" s="1"/>
      <c r="D661" s="640"/>
      <c r="E661" s="640"/>
      <c r="F661" s="1"/>
      <c r="G661" s="1"/>
      <c r="H661" s="640"/>
      <c r="I661" s="107"/>
    </row>
    <row r="662" spans="1:9" ht="20.25" customHeight="1">
      <c r="A662" s="1"/>
      <c r="B662" s="1"/>
      <c r="C662" s="1"/>
      <c r="D662" s="640"/>
      <c r="E662" s="640"/>
      <c r="F662" s="1"/>
      <c r="G662" s="1"/>
      <c r="H662" s="640"/>
      <c r="I662" s="107"/>
    </row>
    <row r="663" spans="1:9" ht="20.25" customHeight="1">
      <c r="A663" s="1"/>
      <c r="B663" s="1"/>
      <c r="C663" s="1"/>
      <c r="D663" s="640"/>
      <c r="E663" s="640"/>
      <c r="F663" s="1"/>
      <c r="G663" s="1"/>
      <c r="H663" s="640"/>
      <c r="I663" s="107"/>
    </row>
    <row r="664" spans="1:9" ht="20.25" customHeight="1">
      <c r="A664" s="1"/>
      <c r="B664" s="1"/>
      <c r="C664" s="1"/>
      <c r="D664" s="640"/>
      <c r="E664" s="640"/>
      <c r="F664" s="1"/>
      <c r="G664" s="1"/>
      <c r="H664" s="640"/>
      <c r="I664" s="107"/>
    </row>
    <row r="665" spans="1:9" ht="20.25" customHeight="1">
      <c r="A665" s="1"/>
      <c r="B665" s="1"/>
      <c r="C665" s="1"/>
      <c r="D665" s="640"/>
      <c r="E665" s="640"/>
      <c r="F665" s="1"/>
      <c r="G665" s="1"/>
      <c r="H665" s="640"/>
      <c r="I665" s="107"/>
    </row>
    <row r="666" spans="1:9" ht="20.25" customHeight="1">
      <c r="A666" s="1"/>
      <c r="B666" s="1"/>
      <c r="C666" s="1"/>
      <c r="D666" s="640"/>
      <c r="E666" s="640"/>
      <c r="F666" s="1"/>
      <c r="G666" s="1"/>
      <c r="H666" s="640"/>
      <c r="I666" s="107"/>
    </row>
    <row r="667" spans="1:9" ht="20.25" customHeight="1">
      <c r="A667" s="1"/>
      <c r="B667" s="1"/>
      <c r="C667" s="1"/>
      <c r="D667" s="640"/>
      <c r="E667" s="640"/>
      <c r="F667" s="1"/>
      <c r="G667" s="1"/>
      <c r="H667" s="640"/>
      <c r="I667" s="107"/>
    </row>
    <row r="668" spans="1:9" ht="20.25" customHeight="1">
      <c r="A668" s="1"/>
      <c r="B668" s="1"/>
      <c r="C668" s="1"/>
      <c r="D668" s="640"/>
      <c r="E668" s="640"/>
      <c r="F668" s="1"/>
      <c r="G668" s="1"/>
      <c r="H668" s="640"/>
      <c r="I668" s="107"/>
    </row>
    <row r="669" spans="1:9" ht="20.25" customHeight="1">
      <c r="A669" s="1"/>
      <c r="B669" s="1"/>
      <c r="C669" s="1"/>
      <c r="D669" s="640"/>
      <c r="E669" s="640"/>
      <c r="F669" s="1"/>
      <c r="G669" s="1"/>
      <c r="H669" s="640"/>
      <c r="I669" s="107"/>
    </row>
    <row r="670" spans="1:9" ht="20.25" customHeight="1">
      <c r="A670" s="1"/>
      <c r="B670" s="1"/>
      <c r="C670" s="1"/>
      <c r="D670" s="640"/>
      <c r="E670" s="640"/>
      <c r="F670" s="1"/>
      <c r="G670" s="1"/>
      <c r="H670" s="640"/>
      <c r="I670" s="107"/>
    </row>
    <row r="671" spans="1:9" ht="20.25" customHeight="1">
      <c r="A671" s="1"/>
      <c r="B671" s="1"/>
      <c r="C671" s="1"/>
      <c r="D671" s="640"/>
      <c r="E671" s="640"/>
      <c r="F671" s="1"/>
      <c r="G671" s="1"/>
      <c r="H671" s="640"/>
      <c r="I671" s="107"/>
    </row>
    <row r="672" spans="1:9" ht="20.25" customHeight="1">
      <c r="A672" s="1"/>
      <c r="B672" s="1"/>
      <c r="C672" s="1"/>
      <c r="D672" s="640"/>
      <c r="E672" s="640"/>
      <c r="F672" s="1"/>
      <c r="G672" s="1"/>
      <c r="H672" s="640"/>
      <c r="I672" s="107"/>
    </row>
    <row r="673" spans="1:9" ht="20.25" customHeight="1">
      <c r="A673" s="1"/>
      <c r="B673" s="1"/>
      <c r="C673" s="1"/>
      <c r="D673" s="640"/>
      <c r="E673" s="640"/>
      <c r="F673" s="1"/>
      <c r="G673" s="1"/>
      <c r="H673" s="640"/>
      <c r="I673" s="107"/>
    </row>
    <row r="674" spans="1:9" ht="20.25" customHeight="1">
      <c r="A674" s="1"/>
      <c r="B674" s="1"/>
      <c r="C674" s="1"/>
      <c r="D674" s="640"/>
      <c r="E674" s="640"/>
      <c r="F674" s="1"/>
      <c r="G674" s="1"/>
      <c r="H674" s="640"/>
      <c r="I674" s="107"/>
    </row>
    <row r="675" spans="1:9" ht="20.25" customHeight="1">
      <c r="A675" s="1"/>
      <c r="B675" s="1"/>
      <c r="C675" s="1"/>
      <c r="D675" s="640"/>
      <c r="E675" s="640"/>
      <c r="F675" s="1"/>
      <c r="G675" s="1"/>
      <c r="H675" s="640"/>
      <c r="I675" s="107"/>
    </row>
    <row r="676" spans="1:9" ht="20.25" customHeight="1">
      <c r="A676" s="1"/>
      <c r="B676" s="1"/>
      <c r="C676" s="1"/>
      <c r="D676" s="640"/>
      <c r="E676" s="640"/>
      <c r="F676" s="1"/>
      <c r="G676" s="1"/>
      <c r="H676" s="640"/>
      <c r="I676" s="107"/>
    </row>
    <row r="677" spans="1:9" ht="20.25" customHeight="1">
      <c r="A677" s="1"/>
      <c r="B677" s="1"/>
      <c r="C677" s="1"/>
      <c r="D677" s="640"/>
      <c r="E677" s="640"/>
      <c r="F677" s="1"/>
      <c r="G677" s="1"/>
      <c r="H677" s="640"/>
      <c r="I677" s="107"/>
    </row>
    <row r="678" spans="1:9" ht="20.25" customHeight="1">
      <c r="A678" s="1"/>
      <c r="B678" s="1"/>
      <c r="C678" s="1"/>
      <c r="D678" s="640"/>
      <c r="E678" s="640"/>
      <c r="F678" s="1"/>
      <c r="G678" s="1"/>
      <c r="H678" s="640"/>
      <c r="I678" s="107"/>
    </row>
    <row r="679" spans="1:9" ht="20.25" customHeight="1">
      <c r="A679" s="1"/>
      <c r="B679" s="1"/>
      <c r="C679" s="1"/>
      <c r="D679" s="640"/>
      <c r="E679" s="640"/>
      <c r="F679" s="1"/>
      <c r="G679" s="1"/>
      <c r="H679" s="640"/>
      <c r="I679" s="107"/>
    </row>
    <row r="680" spans="1:9" ht="20.25" customHeight="1">
      <c r="A680" s="1"/>
      <c r="B680" s="1"/>
      <c r="C680" s="1"/>
      <c r="D680" s="640"/>
      <c r="E680" s="640"/>
      <c r="F680" s="1"/>
      <c r="G680" s="1"/>
      <c r="H680" s="640"/>
      <c r="I680" s="107"/>
    </row>
    <row r="681" spans="1:9" ht="20.25" customHeight="1">
      <c r="A681" s="1"/>
      <c r="B681" s="1"/>
      <c r="C681" s="1"/>
      <c r="D681" s="640"/>
      <c r="E681" s="640"/>
      <c r="F681" s="1"/>
      <c r="G681" s="1"/>
      <c r="H681" s="640"/>
      <c r="I681" s="107"/>
    </row>
    <row r="682" spans="1:9" ht="20.25" customHeight="1">
      <c r="A682" s="1"/>
      <c r="B682" s="1"/>
      <c r="C682" s="1"/>
      <c r="D682" s="640"/>
      <c r="E682" s="640"/>
      <c r="F682" s="1"/>
      <c r="G682" s="1"/>
      <c r="H682" s="640"/>
      <c r="I682" s="107"/>
    </row>
    <row r="683" spans="1:9" ht="20.25" customHeight="1">
      <c r="A683" s="1"/>
      <c r="B683" s="1"/>
      <c r="C683" s="1"/>
      <c r="D683" s="640"/>
      <c r="E683" s="640"/>
      <c r="F683" s="1"/>
      <c r="G683" s="1"/>
      <c r="H683" s="640"/>
      <c r="I683" s="107"/>
    </row>
    <row r="684" spans="1:9" ht="20.25" customHeight="1">
      <c r="A684" s="1"/>
      <c r="B684" s="1"/>
      <c r="C684" s="1"/>
      <c r="D684" s="640"/>
      <c r="E684" s="640"/>
      <c r="F684" s="1"/>
      <c r="G684" s="1"/>
      <c r="H684" s="640"/>
      <c r="I684" s="107"/>
    </row>
    <row r="685" spans="1:9" ht="20.25" customHeight="1">
      <c r="A685" s="1"/>
      <c r="B685" s="1"/>
      <c r="C685" s="1"/>
      <c r="D685" s="640"/>
      <c r="E685" s="640"/>
      <c r="F685" s="1"/>
      <c r="G685" s="1"/>
      <c r="H685" s="640"/>
      <c r="I685" s="107"/>
    </row>
    <row r="686" spans="1:9" ht="20.25" customHeight="1">
      <c r="A686" s="1"/>
      <c r="B686" s="1"/>
      <c r="C686" s="1"/>
      <c r="D686" s="640"/>
      <c r="E686" s="640"/>
      <c r="F686" s="1"/>
      <c r="G686" s="1"/>
      <c r="H686" s="640"/>
      <c r="I686" s="107"/>
    </row>
    <row r="687" spans="1:9" ht="20.25" customHeight="1">
      <c r="A687" s="1"/>
      <c r="B687" s="1"/>
      <c r="C687" s="1"/>
      <c r="D687" s="640"/>
      <c r="E687" s="640"/>
      <c r="F687" s="1"/>
      <c r="G687" s="1"/>
      <c r="H687" s="640"/>
      <c r="I687" s="107"/>
    </row>
    <row r="688" spans="1:9" ht="20.25" customHeight="1">
      <c r="A688" s="1"/>
      <c r="B688" s="1"/>
      <c r="C688" s="1"/>
      <c r="D688" s="640"/>
      <c r="E688" s="640"/>
      <c r="F688" s="1"/>
      <c r="G688" s="1"/>
      <c r="H688" s="640"/>
      <c r="I688" s="107"/>
    </row>
    <row r="689" spans="1:9" ht="20.25" customHeight="1">
      <c r="A689" s="1"/>
      <c r="B689" s="1"/>
      <c r="C689" s="1"/>
      <c r="D689" s="640"/>
      <c r="E689" s="640"/>
      <c r="F689" s="1"/>
      <c r="G689" s="1"/>
      <c r="H689" s="640"/>
      <c r="I689" s="107"/>
    </row>
    <row r="690" spans="1:9" ht="20.25" customHeight="1">
      <c r="A690" s="1"/>
      <c r="B690" s="1"/>
      <c r="C690" s="1"/>
      <c r="D690" s="640"/>
      <c r="E690" s="640"/>
      <c r="F690" s="1"/>
      <c r="G690" s="1"/>
      <c r="H690" s="640"/>
      <c r="I690" s="107"/>
    </row>
    <row r="691" spans="1:9" ht="20.25" customHeight="1">
      <c r="A691" s="1"/>
      <c r="B691" s="1"/>
      <c r="C691" s="1"/>
      <c r="D691" s="640"/>
      <c r="E691" s="640"/>
      <c r="F691" s="1"/>
      <c r="G691" s="1"/>
      <c r="H691" s="640"/>
      <c r="I691" s="107"/>
    </row>
    <row r="692" spans="1:9" ht="20.25" customHeight="1">
      <c r="A692" s="1"/>
      <c r="B692" s="1"/>
      <c r="C692" s="1"/>
      <c r="D692" s="640"/>
      <c r="E692" s="640"/>
      <c r="F692" s="1"/>
      <c r="G692" s="1"/>
      <c r="H692" s="640"/>
      <c r="I692" s="107"/>
    </row>
    <row r="693" spans="1:9" ht="20.25" customHeight="1">
      <c r="A693" s="1"/>
      <c r="B693" s="1"/>
      <c r="C693" s="1"/>
      <c r="D693" s="640"/>
      <c r="E693" s="640"/>
      <c r="F693" s="1"/>
      <c r="G693" s="1"/>
      <c r="H693" s="640"/>
      <c r="I693" s="107"/>
    </row>
    <row r="694" spans="1:9" ht="20.25" customHeight="1">
      <c r="A694" s="1"/>
      <c r="B694" s="1"/>
      <c r="C694" s="1"/>
      <c r="D694" s="640"/>
      <c r="E694" s="640"/>
      <c r="F694" s="1"/>
      <c r="G694" s="1"/>
      <c r="H694" s="640"/>
      <c r="I694" s="107"/>
    </row>
    <row r="695" spans="1:9" ht="20.25" customHeight="1">
      <c r="A695" s="1"/>
      <c r="B695" s="1"/>
      <c r="C695" s="1"/>
      <c r="D695" s="640"/>
      <c r="E695" s="640"/>
      <c r="F695" s="1"/>
      <c r="G695" s="1"/>
      <c r="H695" s="640"/>
      <c r="I695" s="107"/>
    </row>
    <row r="696" spans="1:9" ht="20.25" customHeight="1">
      <c r="A696" s="1"/>
      <c r="B696" s="1"/>
      <c r="C696" s="1"/>
      <c r="D696" s="640"/>
      <c r="E696" s="640"/>
      <c r="F696" s="1"/>
      <c r="G696" s="1"/>
      <c r="H696" s="640"/>
      <c r="I696" s="107"/>
    </row>
    <row r="697" spans="1:9" ht="20.25" customHeight="1">
      <c r="A697" s="1"/>
      <c r="B697" s="1"/>
      <c r="C697" s="1"/>
      <c r="D697" s="640"/>
      <c r="E697" s="640"/>
      <c r="F697" s="1"/>
      <c r="G697" s="1"/>
      <c r="H697" s="640"/>
      <c r="I697" s="107"/>
    </row>
    <row r="698" spans="1:9" ht="20.25" customHeight="1">
      <c r="A698" s="1"/>
      <c r="B698" s="1"/>
      <c r="C698" s="1"/>
      <c r="D698" s="640"/>
      <c r="E698" s="640"/>
      <c r="F698" s="1"/>
      <c r="G698" s="1"/>
      <c r="H698" s="640"/>
      <c r="I698" s="107"/>
    </row>
    <row r="699" spans="1:9" ht="20.25" customHeight="1">
      <c r="A699" s="1"/>
      <c r="B699" s="1"/>
      <c r="C699" s="1"/>
      <c r="D699" s="640"/>
      <c r="E699" s="640"/>
      <c r="F699" s="1"/>
      <c r="G699" s="1"/>
      <c r="H699" s="640"/>
      <c r="I699" s="107"/>
    </row>
    <row r="700" spans="1:9" ht="20.25" customHeight="1">
      <c r="A700" s="1"/>
      <c r="B700" s="1"/>
      <c r="C700" s="1"/>
      <c r="D700" s="640"/>
      <c r="E700" s="640"/>
      <c r="F700" s="1"/>
      <c r="G700" s="1"/>
      <c r="H700" s="640"/>
      <c r="I700" s="107"/>
    </row>
    <row r="701" spans="1:9" ht="20.25" customHeight="1">
      <c r="A701" s="1"/>
      <c r="B701" s="1"/>
      <c r="C701" s="1"/>
      <c r="D701" s="640"/>
      <c r="E701" s="640"/>
      <c r="F701" s="1"/>
      <c r="G701" s="1"/>
      <c r="H701" s="640"/>
      <c r="I701" s="107"/>
    </row>
    <row r="702" spans="1:9" ht="20.25" customHeight="1">
      <c r="A702" s="1"/>
      <c r="B702" s="1"/>
      <c r="C702" s="1"/>
      <c r="D702" s="640"/>
      <c r="E702" s="640"/>
      <c r="F702" s="1"/>
      <c r="G702" s="1"/>
      <c r="H702" s="640"/>
      <c r="I702" s="107"/>
    </row>
    <row r="703" spans="1:9" ht="20.25" customHeight="1">
      <c r="A703" s="1"/>
      <c r="B703" s="1"/>
      <c r="C703" s="1"/>
      <c r="D703" s="640"/>
      <c r="E703" s="640"/>
      <c r="F703" s="1"/>
      <c r="G703" s="1"/>
      <c r="H703" s="640"/>
      <c r="I703" s="107"/>
    </row>
    <row r="704" spans="1:9" ht="20.25" customHeight="1">
      <c r="A704" s="1"/>
      <c r="B704" s="1"/>
      <c r="C704" s="1"/>
      <c r="D704" s="640"/>
      <c r="E704" s="640"/>
      <c r="F704" s="1"/>
      <c r="G704" s="1"/>
      <c r="H704" s="640"/>
      <c r="I704" s="107"/>
    </row>
    <row r="705" spans="1:9" ht="20.25" customHeight="1">
      <c r="A705" s="1"/>
      <c r="B705" s="1"/>
      <c r="C705" s="1"/>
      <c r="D705" s="640"/>
      <c r="E705" s="640"/>
      <c r="F705" s="1"/>
      <c r="G705" s="1"/>
      <c r="H705" s="640"/>
      <c r="I705" s="107"/>
    </row>
    <row r="706" spans="1:9" ht="20.25" customHeight="1">
      <c r="A706" s="1"/>
      <c r="B706" s="1"/>
      <c r="C706" s="1"/>
      <c r="D706" s="640"/>
      <c r="E706" s="640"/>
      <c r="F706" s="1"/>
      <c r="G706" s="1"/>
      <c r="H706" s="640"/>
      <c r="I706" s="107"/>
    </row>
    <row r="707" spans="1:9" ht="20.25" customHeight="1">
      <c r="A707" s="1"/>
      <c r="B707" s="1"/>
      <c r="C707" s="1"/>
      <c r="D707" s="640"/>
      <c r="E707" s="640"/>
      <c r="F707" s="1"/>
      <c r="G707" s="1"/>
      <c r="H707" s="640"/>
      <c r="I707" s="107"/>
    </row>
    <row r="708" spans="1:9" ht="20.25" customHeight="1">
      <c r="A708" s="1"/>
      <c r="B708" s="1"/>
      <c r="C708" s="1"/>
      <c r="D708" s="640"/>
      <c r="E708" s="640"/>
      <c r="F708" s="1"/>
      <c r="G708" s="1"/>
      <c r="H708" s="640"/>
      <c r="I708" s="107"/>
    </row>
    <row r="709" spans="1:9" ht="20.25" customHeight="1">
      <c r="A709" s="1"/>
      <c r="B709" s="1"/>
      <c r="C709" s="1"/>
      <c r="D709" s="640"/>
      <c r="E709" s="640"/>
      <c r="F709" s="1"/>
      <c r="G709" s="1"/>
      <c r="H709" s="640"/>
      <c r="I709" s="107"/>
    </row>
    <row r="710" spans="1:9" ht="20.25" customHeight="1">
      <c r="A710" s="1"/>
      <c r="B710" s="1"/>
      <c r="C710" s="1"/>
      <c r="D710" s="640"/>
      <c r="E710" s="640"/>
      <c r="F710" s="1"/>
      <c r="G710" s="1"/>
      <c r="H710" s="640"/>
      <c r="I710" s="107"/>
    </row>
    <row r="711" spans="1:9" ht="20.25" customHeight="1">
      <c r="A711" s="1"/>
      <c r="B711" s="1"/>
      <c r="C711" s="1"/>
      <c r="D711" s="640"/>
      <c r="E711" s="640"/>
      <c r="F711" s="1"/>
      <c r="G711" s="1"/>
      <c r="H711" s="640"/>
      <c r="I711" s="107"/>
    </row>
    <row r="712" spans="1:9" ht="20.25" customHeight="1">
      <c r="A712" s="1"/>
      <c r="B712" s="1"/>
      <c r="C712" s="1"/>
      <c r="D712" s="640"/>
      <c r="E712" s="640"/>
      <c r="F712" s="1"/>
      <c r="G712" s="1"/>
      <c r="H712" s="640"/>
      <c r="I712" s="107"/>
    </row>
    <row r="713" spans="1:9" ht="20.25" customHeight="1">
      <c r="A713" s="1"/>
      <c r="B713" s="1"/>
      <c r="C713" s="1"/>
      <c r="D713" s="640"/>
      <c r="E713" s="640"/>
      <c r="F713" s="1"/>
      <c r="G713" s="1"/>
      <c r="H713" s="640"/>
      <c r="I713" s="107"/>
    </row>
    <row r="714" spans="1:9" ht="20.25" customHeight="1">
      <c r="A714" s="1"/>
      <c r="B714" s="1"/>
      <c r="C714" s="1"/>
      <c r="D714" s="640"/>
      <c r="E714" s="640"/>
      <c r="F714" s="1"/>
      <c r="G714" s="1"/>
      <c r="H714" s="640"/>
      <c r="I714" s="107"/>
    </row>
    <row r="715" spans="1:9" ht="20.25" customHeight="1">
      <c r="A715" s="1"/>
      <c r="B715" s="1"/>
      <c r="C715" s="1"/>
      <c r="D715" s="640"/>
      <c r="E715" s="640"/>
      <c r="F715" s="1"/>
      <c r="G715" s="1"/>
      <c r="H715" s="640"/>
      <c r="I715" s="107"/>
    </row>
    <row r="716" spans="1:9" ht="20.25" customHeight="1">
      <c r="A716" s="1"/>
      <c r="B716" s="1"/>
      <c r="C716" s="1"/>
      <c r="D716" s="640"/>
      <c r="E716" s="640"/>
      <c r="F716" s="1"/>
      <c r="G716" s="1"/>
      <c r="H716" s="640"/>
      <c r="I716" s="107"/>
    </row>
    <row r="717" spans="1:9" ht="20.25" customHeight="1">
      <c r="A717" s="1"/>
      <c r="B717" s="1"/>
      <c r="C717" s="1"/>
      <c r="D717" s="640"/>
      <c r="E717" s="640"/>
      <c r="F717" s="1"/>
      <c r="G717" s="1"/>
      <c r="H717" s="640"/>
      <c r="I717" s="107"/>
    </row>
    <row r="718" spans="1:9" ht="20.25" customHeight="1">
      <c r="A718" s="1"/>
      <c r="B718" s="1"/>
      <c r="C718" s="1"/>
      <c r="D718" s="640"/>
      <c r="E718" s="640"/>
      <c r="F718" s="1"/>
      <c r="G718" s="1"/>
      <c r="H718" s="640"/>
      <c r="I718" s="107"/>
    </row>
    <row r="719" spans="1:9" ht="20.25" customHeight="1">
      <c r="A719" s="1"/>
      <c r="B719" s="1"/>
      <c r="C719" s="1"/>
      <c r="D719" s="640"/>
      <c r="E719" s="640"/>
      <c r="F719" s="1"/>
      <c r="G719" s="1"/>
      <c r="H719" s="640"/>
      <c r="I719" s="107"/>
    </row>
    <row r="720" spans="1:9" ht="20.25" customHeight="1">
      <c r="A720" s="1"/>
      <c r="B720" s="1"/>
      <c r="C720" s="1"/>
      <c r="D720" s="640"/>
      <c r="E720" s="640"/>
      <c r="F720" s="1"/>
      <c r="G720" s="1"/>
      <c r="H720" s="640"/>
      <c r="I720" s="107"/>
    </row>
    <row r="721" spans="1:9" ht="20.25" customHeight="1">
      <c r="A721" s="1"/>
      <c r="B721" s="1"/>
      <c r="C721" s="1"/>
      <c r="D721" s="640"/>
      <c r="E721" s="640"/>
      <c r="F721" s="1"/>
      <c r="G721" s="1"/>
      <c r="H721" s="640"/>
      <c r="I721" s="107"/>
    </row>
    <row r="722" spans="1:9" ht="20.25" customHeight="1">
      <c r="A722" s="1"/>
      <c r="B722" s="1"/>
      <c r="C722" s="1"/>
      <c r="D722" s="640"/>
      <c r="E722" s="640"/>
      <c r="F722" s="1"/>
      <c r="G722" s="1"/>
      <c r="H722" s="640"/>
      <c r="I722" s="107"/>
    </row>
    <row r="723" spans="1:9" ht="20.25" customHeight="1">
      <c r="A723" s="1"/>
      <c r="B723" s="1"/>
      <c r="C723" s="1"/>
      <c r="D723" s="640"/>
      <c r="E723" s="640"/>
      <c r="F723" s="1"/>
      <c r="G723" s="1"/>
      <c r="H723" s="640"/>
      <c r="I723" s="107"/>
    </row>
    <row r="724" spans="1:9" ht="20.25" customHeight="1">
      <c r="A724" s="1"/>
      <c r="B724" s="1"/>
      <c r="C724" s="1"/>
      <c r="D724" s="640"/>
      <c r="E724" s="640"/>
      <c r="F724" s="1"/>
      <c r="G724" s="1"/>
      <c r="H724" s="640"/>
      <c r="I724" s="107"/>
    </row>
    <row r="725" spans="1:9" ht="20.25" customHeight="1">
      <c r="A725" s="1"/>
      <c r="B725" s="1"/>
      <c r="C725" s="1"/>
      <c r="D725" s="640"/>
      <c r="E725" s="640"/>
      <c r="F725" s="1"/>
      <c r="G725" s="1"/>
      <c r="H725" s="640"/>
      <c r="I725" s="107"/>
    </row>
    <row r="726" spans="1:9" ht="20.25" customHeight="1">
      <c r="A726" s="1"/>
      <c r="B726" s="1"/>
      <c r="C726" s="1"/>
      <c r="D726" s="640"/>
      <c r="E726" s="640"/>
      <c r="F726" s="1"/>
      <c r="G726" s="1"/>
      <c r="H726" s="640"/>
      <c r="I726" s="107"/>
    </row>
    <row r="727" spans="1:9" ht="20.25" customHeight="1">
      <c r="A727" s="1"/>
      <c r="B727" s="1"/>
      <c r="C727" s="1"/>
      <c r="D727" s="640"/>
      <c r="E727" s="640"/>
      <c r="F727" s="1"/>
      <c r="G727" s="1"/>
      <c r="H727" s="640"/>
      <c r="I727" s="107"/>
    </row>
    <row r="728" spans="1:9" ht="20.25" customHeight="1">
      <c r="A728" s="1"/>
      <c r="B728" s="1"/>
      <c r="C728" s="1"/>
      <c r="D728" s="640"/>
      <c r="E728" s="640"/>
      <c r="F728" s="1"/>
      <c r="G728" s="1"/>
      <c r="H728" s="640"/>
      <c r="I728" s="107"/>
    </row>
    <row r="729" spans="1:9" ht="20.25" customHeight="1">
      <c r="A729" s="1"/>
      <c r="B729" s="1"/>
      <c r="C729" s="1"/>
      <c r="D729" s="640"/>
      <c r="E729" s="640"/>
      <c r="F729" s="1"/>
      <c r="G729" s="1"/>
      <c r="H729" s="640"/>
      <c r="I729" s="107"/>
    </row>
    <row r="730" spans="1:9" ht="20.25" customHeight="1">
      <c r="A730" s="1"/>
      <c r="B730" s="1"/>
      <c r="C730" s="1"/>
      <c r="D730" s="640"/>
      <c r="E730" s="640"/>
      <c r="F730" s="1"/>
      <c r="G730" s="1"/>
      <c r="H730" s="640"/>
      <c r="I730" s="107"/>
    </row>
    <row r="731" spans="1:9" ht="20.25" customHeight="1">
      <c r="A731" s="1"/>
      <c r="B731" s="1"/>
      <c r="C731" s="1"/>
      <c r="D731" s="640"/>
      <c r="E731" s="640"/>
      <c r="F731" s="1"/>
      <c r="G731" s="1"/>
      <c r="H731" s="640"/>
      <c r="I731" s="107"/>
    </row>
    <row r="732" spans="1:9" ht="20.25" customHeight="1">
      <c r="A732" s="1"/>
      <c r="B732" s="1"/>
      <c r="C732" s="1"/>
      <c r="D732" s="640"/>
      <c r="E732" s="640"/>
      <c r="F732" s="1"/>
      <c r="G732" s="1"/>
      <c r="H732" s="640"/>
      <c r="I732" s="107"/>
    </row>
    <row r="733" spans="1:9" ht="20.25" customHeight="1">
      <c r="A733" s="1"/>
      <c r="B733" s="1"/>
      <c r="C733" s="1"/>
      <c r="D733" s="640"/>
      <c r="E733" s="640"/>
      <c r="F733" s="1"/>
      <c r="G733" s="1"/>
      <c r="H733" s="640"/>
      <c r="I733" s="107"/>
    </row>
    <row r="734" spans="1:9" ht="20.25" customHeight="1">
      <c r="A734" s="1"/>
      <c r="B734" s="1"/>
      <c r="C734" s="1"/>
      <c r="D734" s="640"/>
      <c r="E734" s="640"/>
      <c r="F734" s="1"/>
      <c r="G734" s="1"/>
      <c r="H734" s="640"/>
      <c r="I734" s="107"/>
    </row>
    <row r="735" spans="1:9" ht="20.25" customHeight="1">
      <c r="A735" s="1"/>
      <c r="B735" s="1"/>
      <c r="C735" s="1"/>
      <c r="D735" s="640"/>
      <c r="E735" s="640"/>
      <c r="F735" s="1"/>
      <c r="G735" s="1"/>
      <c r="H735" s="640"/>
      <c r="I735" s="107"/>
    </row>
    <row r="736" spans="1:9" ht="20.25" customHeight="1">
      <c r="A736" s="1"/>
      <c r="B736" s="1"/>
      <c r="C736" s="1"/>
      <c r="D736" s="640"/>
      <c r="E736" s="640"/>
      <c r="F736" s="1"/>
      <c r="G736" s="1"/>
      <c r="H736" s="640"/>
      <c r="I736" s="107"/>
    </row>
    <row r="737" spans="1:9" ht="20.25" customHeight="1">
      <c r="A737" s="1"/>
      <c r="B737" s="1"/>
      <c r="C737" s="1"/>
      <c r="D737" s="640"/>
      <c r="E737" s="640"/>
      <c r="F737" s="1"/>
      <c r="G737" s="1"/>
      <c r="H737" s="640"/>
      <c r="I737" s="107"/>
    </row>
    <row r="738" spans="1:9" ht="20.25" customHeight="1">
      <c r="A738" s="1"/>
      <c r="B738" s="1"/>
      <c r="C738" s="1"/>
      <c r="D738" s="640"/>
      <c r="E738" s="640"/>
      <c r="F738" s="1"/>
      <c r="G738" s="1"/>
      <c r="H738" s="640"/>
      <c r="I738" s="107"/>
    </row>
    <row r="739" spans="1:9" ht="20.25" customHeight="1">
      <c r="A739" s="1"/>
      <c r="B739" s="1"/>
      <c r="C739" s="1"/>
      <c r="D739" s="640"/>
      <c r="E739" s="640"/>
      <c r="F739" s="1"/>
      <c r="G739" s="1"/>
      <c r="H739" s="640"/>
      <c r="I739" s="107"/>
    </row>
    <row r="740" spans="1:9" ht="20.25" customHeight="1">
      <c r="A740" s="1"/>
      <c r="B740" s="1"/>
      <c r="C740" s="1"/>
      <c r="D740" s="640"/>
      <c r="E740" s="640"/>
      <c r="F740" s="1"/>
      <c r="G740" s="1"/>
      <c r="H740" s="640"/>
      <c r="I740" s="107"/>
    </row>
    <row r="741" spans="1:9" ht="20.25" customHeight="1">
      <c r="A741" s="1"/>
      <c r="B741" s="1"/>
      <c r="C741" s="1"/>
      <c r="D741" s="640"/>
      <c r="E741" s="640"/>
      <c r="F741" s="1"/>
      <c r="G741" s="1"/>
      <c r="H741" s="640"/>
      <c r="I741" s="107"/>
    </row>
    <row r="742" spans="1:9" ht="20.25" customHeight="1">
      <c r="A742" s="1"/>
      <c r="B742" s="1"/>
      <c r="C742" s="1"/>
      <c r="D742" s="640"/>
      <c r="E742" s="640"/>
      <c r="F742" s="1"/>
      <c r="G742" s="1"/>
      <c r="H742" s="640"/>
      <c r="I742" s="107"/>
    </row>
    <row r="743" spans="1:9" ht="20.25" customHeight="1">
      <c r="A743" s="1"/>
      <c r="B743" s="1"/>
      <c r="C743" s="1"/>
      <c r="D743" s="640"/>
      <c r="E743" s="640"/>
      <c r="F743" s="1"/>
      <c r="G743" s="1"/>
      <c r="H743" s="640"/>
      <c r="I743" s="107"/>
    </row>
    <row r="744" spans="1:9" ht="20.25" customHeight="1">
      <c r="A744" s="1"/>
      <c r="B744" s="1"/>
      <c r="C744" s="1"/>
      <c r="D744" s="640"/>
      <c r="E744" s="640"/>
      <c r="F744" s="1"/>
      <c r="G744" s="1"/>
      <c r="H744" s="640"/>
      <c r="I744" s="107"/>
    </row>
    <row r="745" spans="1:9" ht="20.25" customHeight="1">
      <c r="A745" s="1"/>
      <c r="B745" s="1"/>
      <c r="C745" s="1"/>
      <c r="D745" s="640"/>
      <c r="E745" s="640"/>
      <c r="F745" s="1"/>
      <c r="G745" s="1"/>
      <c r="H745" s="640"/>
      <c r="I745" s="107"/>
    </row>
    <row r="746" spans="1:9" ht="20.25" customHeight="1">
      <c r="A746" s="1"/>
      <c r="B746" s="1"/>
      <c r="C746" s="1"/>
      <c r="D746" s="640"/>
      <c r="E746" s="640"/>
      <c r="F746" s="1"/>
      <c r="G746" s="1"/>
      <c r="H746" s="640"/>
      <c r="I746" s="107"/>
    </row>
    <row r="747" spans="1:9" ht="20.25" customHeight="1">
      <c r="A747" s="1"/>
      <c r="B747" s="1"/>
      <c r="C747" s="1"/>
      <c r="D747" s="640"/>
      <c r="E747" s="640"/>
      <c r="F747" s="1"/>
      <c r="G747" s="1"/>
      <c r="H747" s="640"/>
      <c r="I747" s="107"/>
    </row>
    <row r="748" spans="1:9" ht="20.25" customHeight="1">
      <c r="A748" s="1"/>
      <c r="B748" s="1"/>
      <c r="C748" s="1"/>
      <c r="D748" s="640"/>
      <c r="E748" s="640"/>
      <c r="F748" s="1"/>
      <c r="G748" s="1"/>
      <c r="H748" s="640"/>
      <c r="I748" s="107"/>
    </row>
    <row r="749" spans="1:9" ht="20.25" customHeight="1">
      <c r="A749" s="1"/>
      <c r="B749" s="1"/>
      <c r="C749" s="1"/>
      <c r="D749" s="640"/>
      <c r="E749" s="640"/>
      <c r="F749" s="1"/>
      <c r="G749" s="1"/>
      <c r="H749" s="640"/>
      <c r="I749" s="107"/>
    </row>
    <row r="750" spans="1:9" ht="20.25" customHeight="1">
      <c r="A750" s="1"/>
      <c r="B750" s="1"/>
      <c r="C750" s="1"/>
      <c r="D750" s="640"/>
      <c r="E750" s="640"/>
      <c r="F750" s="1"/>
      <c r="G750" s="1"/>
      <c r="H750" s="640"/>
      <c r="I750" s="107"/>
    </row>
    <row r="751" spans="1:9" ht="20.25" customHeight="1">
      <c r="A751" s="1"/>
      <c r="B751" s="1"/>
      <c r="C751" s="1"/>
      <c r="D751" s="640"/>
      <c r="E751" s="640"/>
      <c r="F751" s="1"/>
      <c r="G751" s="1"/>
      <c r="H751" s="640"/>
      <c r="I751" s="107"/>
    </row>
    <row r="752" spans="1:9" ht="20.25" customHeight="1">
      <c r="A752" s="1"/>
      <c r="B752" s="1"/>
      <c r="C752" s="1"/>
      <c r="D752" s="640"/>
      <c r="E752" s="640"/>
      <c r="F752" s="1"/>
      <c r="G752" s="1"/>
      <c r="H752" s="640"/>
      <c r="I752" s="107"/>
    </row>
    <row r="753" spans="1:9" ht="20.25" customHeight="1">
      <c r="A753" s="1"/>
      <c r="B753" s="1"/>
      <c r="C753" s="1"/>
      <c r="D753" s="640"/>
      <c r="E753" s="640"/>
      <c r="F753" s="1"/>
      <c r="G753" s="1"/>
      <c r="H753" s="640"/>
      <c r="I753" s="107"/>
    </row>
    <row r="754" spans="1:9" ht="20.25" customHeight="1">
      <c r="A754" s="1"/>
      <c r="B754" s="1"/>
      <c r="C754" s="1"/>
      <c r="D754" s="640"/>
      <c r="E754" s="640"/>
      <c r="F754" s="1"/>
      <c r="G754" s="1"/>
      <c r="H754" s="640"/>
      <c r="I754" s="107"/>
    </row>
    <row r="755" spans="1:9" ht="20.25" customHeight="1">
      <c r="A755" s="1"/>
      <c r="B755" s="1"/>
      <c r="C755" s="1"/>
      <c r="D755" s="640"/>
      <c r="E755" s="640"/>
      <c r="F755" s="1"/>
      <c r="G755" s="1"/>
      <c r="H755" s="640"/>
      <c r="I755" s="107"/>
    </row>
    <row r="756" spans="1:9" ht="20.25" customHeight="1">
      <c r="A756" s="1"/>
      <c r="B756" s="1"/>
      <c r="C756" s="1"/>
      <c r="D756" s="640"/>
      <c r="E756" s="640"/>
      <c r="F756" s="1"/>
      <c r="G756" s="1"/>
      <c r="H756" s="640"/>
      <c r="I756" s="107"/>
    </row>
    <row r="757" spans="1:9" ht="20.25" customHeight="1">
      <c r="A757" s="1"/>
      <c r="B757" s="1"/>
      <c r="C757" s="1"/>
      <c r="D757" s="640"/>
      <c r="E757" s="640"/>
      <c r="F757" s="1"/>
      <c r="G757" s="1"/>
      <c r="H757" s="640"/>
      <c r="I757" s="107"/>
    </row>
    <row r="758" spans="1:9" ht="20.25" customHeight="1">
      <c r="A758" s="1"/>
      <c r="B758" s="1"/>
      <c r="C758" s="1"/>
      <c r="D758" s="640"/>
      <c r="E758" s="640"/>
      <c r="F758" s="1"/>
      <c r="G758" s="1"/>
      <c r="H758" s="640"/>
      <c r="I758" s="107"/>
    </row>
    <row r="759" spans="1:9" ht="20.25" customHeight="1">
      <c r="A759" s="1"/>
      <c r="B759" s="1"/>
      <c r="C759" s="1"/>
      <c r="D759" s="640"/>
      <c r="E759" s="640"/>
      <c r="F759" s="1"/>
      <c r="G759" s="1"/>
      <c r="H759" s="640"/>
      <c r="I759" s="107"/>
    </row>
    <row r="760" spans="1:9" ht="20.25" customHeight="1">
      <c r="A760" s="1"/>
      <c r="B760" s="1"/>
      <c r="C760" s="1"/>
      <c r="D760" s="640"/>
      <c r="E760" s="640"/>
      <c r="F760" s="1"/>
      <c r="G760" s="1"/>
      <c r="H760" s="640"/>
      <c r="I760" s="107"/>
    </row>
    <row r="761" spans="1:9" ht="20.25" customHeight="1">
      <c r="A761" s="1"/>
      <c r="B761" s="1"/>
      <c r="C761" s="1"/>
      <c r="D761" s="640"/>
      <c r="E761" s="640"/>
      <c r="F761" s="1"/>
      <c r="G761" s="1"/>
      <c r="H761" s="640"/>
      <c r="I761" s="107"/>
    </row>
    <row r="762" spans="1:9" ht="20.25" customHeight="1">
      <c r="A762" s="1"/>
      <c r="B762" s="1"/>
      <c r="C762" s="1"/>
      <c r="D762" s="640"/>
      <c r="E762" s="640"/>
      <c r="F762" s="1"/>
      <c r="G762" s="1"/>
      <c r="H762" s="640"/>
      <c r="I762" s="107"/>
    </row>
    <row r="763" spans="1:9" ht="20.25" customHeight="1">
      <c r="A763" s="1"/>
      <c r="B763" s="1"/>
      <c r="C763" s="1"/>
      <c r="D763" s="640"/>
      <c r="E763" s="640"/>
      <c r="F763" s="1"/>
      <c r="G763" s="1"/>
      <c r="H763" s="640"/>
      <c r="I763" s="107"/>
    </row>
    <row r="764" spans="1:9" ht="20.25" customHeight="1">
      <c r="A764" s="1"/>
      <c r="B764" s="1"/>
      <c r="C764" s="1"/>
      <c r="D764" s="640"/>
      <c r="E764" s="640"/>
      <c r="F764" s="1"/>
      <c r="G764" s="1"/>
      <c r="H764" s="640"/>
      <c r="I764" s="107"/>
    </row>
    <row r="765" spans="1:9" ht="20.25" customHeight="1">
      <c r="A765" s="1"/>
      <c r="B765" s="1"/>
      <c r="C765" s="1"/>
      <c r="D765" s="640"/>
      <c r="E765" s="640"/>
      <c r="F765" s="1"/>
      <c r="G765" s="1"/>
      <c r="H765" s="640"/>
      <c r="I765" s="107"/>
    </row>
    <row r="766" spans="1:9" ht="20.25" customHeight="1">
      <c r="A766" s="1"/>
      <c r="B766" s="1"/>
      <c r="C766" s="1"/>
      <c r="D766" s="640"/>
      <c r="E766" s="640"/>
      <c r="F766" s="1"/>
      <c r="G766" s="1"/>
      <c r="H766" s="640"/>
      <c r="I766" s="107"/>
    </row>
    <row r="767" spans="1:9" ht="20.25" customHeight="1">
      <c r="A767" s="1"/>
      <c r="B767" s="1"/>
      <c r="C767" s="1"/>
      <c r="D767" s="640"/>
      <c r="E767" s="640"/>
      <c r="F767" s="1"/>
      <c r="G767" s="1"/>
      <c r="H767" s="640"/>
      <c r="I767" s="107"/>
    </row>
    <row r="768" spans="1:9" ht="20.25" customHeight="1">
      <c r="A768" s="1"/>
      <c r="B768" s="1"/>
      <c r="C768" s="1"/>
      <c r="D768" s="640"/>
      <c r="E768" s="640"/>
      <c r="F768" s="1"/>
      <c r="G768" s="1"/>
      <c r="H768" s="640"/>
      <c r="I768" s="107"/>
    </row>
    <row r="769" spans="1:9" ht="20.25" customHeight="1">
      <c r="A769" s="1"/>
      <c r="B769" s="1"/>
      <c r="C769" s="1"/>
      <c r="D769" s="640"/>
      <c r="E769" s="640"/>
      <c r="F769" s="1"/>
      <c r="G769" s="1"/>
      <c r="H769" s="640"/>
      <c r="I769" s="107"/>
    </row>
    <row r="770" spans="1:9" ht="20.25" customHeight="1">
      <c r="A770" s="1"/>
      <c r="B770" s="1"/>
      <c r="C770" s="1"/>
      <c r="D770" s="640"/>
      <c r="E770" s="640"/>
      <c r="F770" s="1"/>
      <c r="G770" s="1"/>
      <c r="H770" s="640"/>
      <c r="I770" s="107"/>
    </row>
    <row r="771" spans="1:9" ht="20.25" customHeight="1">
      <c r="A771" s="1"/>
      <c r="B771" s="1"/>
      <c r="C771" s="1"/>
      <c r="D771" s="640"/>
      <c r="E771" s="640"/>
      <c r="F771" s="1"/>
      <c r="G771" s="1"/>
      <c r="H771" s="640"/>
      <c r="I771" s="107"/>
    </row>
    <row r="772" spans="1:9" ht="20.25" customHeight="1">
      <c r="A772" s="1"/>
      <c r="B772" s="1"/>
      <c r="C772" s="1"/>
      <c r="D772" s="640"/>
      <c r="E772" s="640"/>
      <c r="F772" s="1"/>
      <c r="G772" s="1"/>
      <c r="H772" s="640"/>
      <c r="I772" s="107"/>
    </row>
    <row r="773" spans="1:9" ht="20.25" customHeight="1">
      <c r="A773" s="1"/>
      <c r="B773" s="1"/>
      <c r="C773" s="1"/>
      <c r="D773" s="640"/>
      <c r="E773" s="640"/>
      <c r="F773" s="1"/>
      <c r="G773" s="1"/>
      <c r="H773" s="640"/>
      <c r="I773" s="107"/>
    </row>
    <row r="774" spans="1:9" ht="20.25" customHeight="1">
      <c r="A774" s="1"/>
      <c r="B774" s="1"/>
      <c r="C774" s="1"/>
      <c r="D774" s="640"/>
      <c r="E774" s="640"/>
      <c r="F774" s="1"/>
      <c r="G774" s="1"/>
      <c r="H774" s="640"/>
      <c r="I774" s="107"/>
    </row>
    <row r="775" spans="1:9" ht="20.25" customHeight="1">
      <c r="A775" s="1"/>
      <c r="B775" s="1"/>
      <c r="C775" s="1"/>
      <c r="D775" s="640"/>
      <c r="E775" s="640"/>
      <c r="F775" s="1"/>
      <c r="G775" s="1"/>
      <c r="H775" s="640"/>
      <c r="I775" s="107"/>
    </row>
    <row r="776" spans="1:9" ht="20.25" customHeight="1">
      <c r="A776" s="1"/>
      <c r="B776" s="1"/>
      <c r="C776" s="1"/>
      <c r="D776" s="640"/>
      <c r="E776" s="640"/>
      <c r="F776" s="1"/>
      <c r="G776" s="1"/>
      <c r="H776" s="640"/>
      <c r="I776" s="107"/>
    </row>
    <row r="777" spans="1:9" ht="20.25" customHeight="1">
      <c r="A777" s="1"/>
      <c r="B777" s="1"/>
      <c r="C777" s="1"/>
      <c r="D777" s="640"/>
      <c r="E777" s="640"/>
      <c r="F777" s="1"/>
      <c r="G777" s="1"/>
      <c r="H777" s="640"/>
      <c r="I777" s="107"/>
    </row>
    <row r="778" spans="1:9" ht="20.25" customHeight="1">
      <c r="A778" s="1"/>
      <c r="B778" s="1"/>
      <c r="C778" s="1"/>
      <c r="D778" s="640"/>
      <c r="E778" s="640"/>
      <c r="F778" s="1"/>
      <c r="G778" s="1"/>
      <c r="H778" s="640"/>
      <c r="I778" s="107"/>
    </row>
    <row r="779" spans="1:9" ht="20.25" customHeight="1">
      <c r="A779" s="1"/>
      <c r="B779" s="1"/>
      <c r="C779" s="1"/>
      <c r="D779" s="640"/>
      <c r="E779" s="640"/>
      <c r="F779" s="1"/>
      <c r="G779" s="1"/>
      <c r="H779" s="640"/>
      <c r="I779" s="107"/>
    </row>
    <row r="780" spans="1:9" ht="20.25" customHeight="1">
      <c r="A780" s="1"/>
      <c r="B780" s="1"/>
      <c r="C780" s="1"/>
      <c r="D780" s="640"/>
      <c r="E780" s="640"/>
      <c r="F780" s="1"/>
      <c r="G780" s="1"/>
      <c r="H780" s="640"/>
      <c r="I780" s="107"/>
    </row>
    <row r="781" spans="1:9" ht="20.25" customHeight="1">
      <c r="A781" s="1"/>
      <c r="B781" s="1"/>
      <c r="C781" s="1"/>
      <c r="D781" s="640"/>
      <c r="E781" s="640"/>
      <c r="F781" s="1"/>
      <c r="G781" s="1"/>
      <c r="H781" s="640"/>
      <c r="I781" s="107"/>
    </row>
    <row r="782" spans="1:9" ht="20.25" customHeight="1">
      <c r="A782" s="1"/>
      <c r="B782" s="1"/>
      <c r="C782" s="1"/>
      <c r="D782" s="640"/>
      <c r="E782" s="640"/>
      <c r="F782" s="1"/>
      <c r="G782" s="1"/>
      <c r="H782" s="640"/>
      <c r="I782" s="107"/>
    </row>
    <row r="783" spans="1:9" ht="20.25" customHeight="1">
      <c r="A783" s="1"/>
      <c r="B783" s="1"/>
      <c r="C783" s="1"/>
      <c r="D783" s="640"/>
      <c r="E783" s="640"/>
      <c r="F783" s="1"/>
      <c r="G783" s="1"/>
      <c r="H783" s="640"/>
      <c r="I783" s="107"/>
    </row>
    <row r="784" spans="1:9" ht="20.25" customHeight="1">
      <c r="A784" s="1"/>
      <c r="B784" s="1"/>
      <c r="C784" s="1"/>
      <c r="D784" s="640"/>
      <c r="E784" s="640"/>
      <c r="F784" s="1"/>
      <c r="G784" s="1"/>
      <c r="H784" s="640"/>
      <c r="I784" s="107"/>
    </row>
    <row r="785" spans="1:9" ht="20.25" customHeight="1">
      <c r="A785" s="1"/>
      <c r="B785" s="1"/>
      <c r="C785" s="1"/>
      <c r="D785" s="640"/>
      <c r="E785" s="640"/>
      <c r="F785" s="1"/>
      <c r="G785" s="1"/>
      <c r="H785" s="640"/>
      <c r="I785" s="107"/>
    </row>
    <row r="786" spans="1:9" ht="20.25" customHeight="1">
      <c r="A786" s="1"/>
      <c r="B786" s="1"/>
      <c r="C786" s="1"/>
      <c r="D786" s="640"/>
      <c r="E786" s="640"/>
      <c r="F786" s="1"/>
      <c r="G786" s="1"/>
      <c r="H786" s="640"/>
      <c r="I786" s="107"/>
    </row>
    <row r="787" spans="1:9" ht="20.25" customHeight="1">
      <c r="A787" s="1"/>
      <c r="B787" s="1"/>
      <c r="C787" s="1"/>
      <c r="D787" s="640"/>
      <c r="E787" s="640"/>
      <c r="F787" s="1"/>
      <c r="G787" s="1"/>
      <c r="H787" s="640"/>
      <c r="I787" s="107"/>
    </row>
    <row r="788" spans="1:9" ht="20.25" customHeight="1">
      <c r="A788" s="1"/>
      <c r="B788" s="1"/>
      <c r="C788" s="1"/>
      <c r="D788" s="640"/>
      <c r="E788" s="640"/>
      <c r="F788" s="1"/>
      <c r="G788" s="1"/>
      <c r="H788" s="640"/>
      <c r="I788" s="107"/>
    </row>
    <row r="789" spans="1:9" ht="20.25" customHeight="1">
      <c r="A789" s="1"/>
      <c r="B789" s="1"/>
      <c r="C789" s="1"/>
      <c r="D789" s="640"/>
      <c r="E789" s="640"/>
      <c r="F789" s="1"/>
      <c r="G789" s="1"/>
      <c r="H789" s="640"/>
      <c r="I789" s="107"/>
    </row>
    <row r="790" spans="1:9" ht="20.25" customHeight="1">
      <c r="A790" s="1"/>
      <c r="B790" s="1"/>
      <c r="C790" s="1"/>
      <c r="D790" s="640"/>
      <c r="E790" s="640"/>
      <c r="F790" s="1"/>
      <c r="G790" s="1"/>
      <c r="H790" s="640"/>
      <c r="I790" s="107"/>
    </row>
    <row r="791" spans="1:9" ht="20.25" customHeight="1">
      <c r="A791" s="1"/>
      <c r="B791" s="1"/>
      <c r="C791" s="1"/>
      <c r="D791" s="640"/>
      <c r="E791" s="640"/>
      <c r="F791" s="1"/>
      <c r="G791" s="1"/>
      <c r="H791" s="640"/>
      <c r="I791" s="107"/>
    </row>
    <row r="792" spans="1:9" ht="20.25" customHeight="1">
      <c r="A792" s="1"/>
      <c r="B792" s="1"/>
      <c r="C792" s="1"/>
      <c r="D792" s="640"/>
      <c r="E792" s="640"/>
      <c r="F792" s="1"/>
      <c r="G792" s="1"/>
      <c r="H792" s="640"/>
      <c r="I792" s="107"/>
    </row>
    <row r="793" spans="1:9" ht="20.25" customHeight="1">
      <c r="A793" s="1"/>
      <c r="B793" s="1"/>
      <c r="C793" s="1"/>
      <c r="D793" s="640"/>
      <c r="E793" s="640"/>
      <c r="F793" s="1"/>
      <c r="G793" s="1"/>
      <c r="H793" s="640"/>
      <c r="I793" s="107"/>
    </row>
    <row r="794" spans="1:9" ht="20.25" customHeight="1">
      <c r="A794" s="1"/>
      <c r="B794" s="1"/>
      <c r="C794" s="1"/>
      <c r="D794" s="640"/>
      <c r="E794" s="640"/>
      <c r="F794" s="1"/>
      <c r="G794" s="1"/>
      <c r="H794" s="640"/>
      <c r="I794" s="107"/>
    </row>
    <row r="795" spans="1:9" ht="20.25" customHeight="1">
      <c r="A795" s="1"/>
      <c r="B795" s="1"/>
      <c r="C795" s="1"/>
      <c r="D795" s="640"/>
      <c r="E795" s="640"/>
      <c r="F795" s="1"/>
      <c r="G795" s="1"/>
      <c r="H795" s="640"/>
      <c r="I795" s="107"/>
    </row>
    <row r="796" spans="1:9" ht="20.25" customHeight="1">
      <c r="A796" s="1"/>
      <c r="B796" s="1"/>
      <c r="C796" s="1"/>
      <c r="D796" s="640"/>
      <c r="E796" s="640"/>
      <c r="F796" s="1"/>
      <c r="G796" s="1"/>
      <c r="H796" s="640"/>
      <c r="I796" s="107"/>
    </row>
    <row r="797" spans="1:9" ht="20.25" customHeight="1">
      <c r="A797" s="1"/>
      <c r="B797" s="1"/>
      <c r="C797" s="1"/>
      <c r="D797" s="640"/>
      <c r="E797" s="640"/>
      <c r="F797" s="1"/>
      <c r="G797" s="1"/>
      <c r="H797" s="640"/>
      <c r="I797" s="107"/>
    </row>
    <row r="798" spans="1:9" ht="20.25" customHeight="1">
      <c r="A798" s="1"/>
      <c r="B798" s="1"/>
      <c r="C798" s="1"/>
      <c r="D798" s="640"/>
      <c r="E798" s="640"/>
      <c r="F798" s="1"/>
      <c r="G798" s="1"/>
      <c r="H798" s="640"/>
      <c r="I798" s="107"/>
    </row>
    <row r="799" spans="1:9" ht="20.25" customHeight="1">
      <c r="A799" s="1"/>
      <c r="B799" s="1"/>
      <c r="C799" s="1"/>
      <c r="D799" s="640"/>
      <c r="E799" s="640"/>
      <c r="F799" s="1"/>
      <c r="G799" s="1"/>
      <c r="H799" s="640"/>
      <c r="I799" s="107"/>
    </row>
    <row r="800" spans="1:9" ht="20.25" customHeight="1">
      <c r="A800" s="1"/>
      <c r="B800" s="1"/>
      <c r="C800" s="1"/>
      <c r="D800" s="640"/>
      <c r="E800" s="640"/>
      <c r="F800" s="1"/>
      <c r="G800" s="1"/>
      <c r="H800" s="640"/>
      <c r="I800" s="107"/>
    </row>
    <row r="801" spans="1:9" ht="20.25" customHeight="1">
      <c r="A801" s="1"/>
      <c r="B801" s="1"/>
      <c r="C801" s="1"/>
      <c r="D801" s="640"/>
      <c r="E801" s="640"/>
      <c r="F801" s="1"/>
      <c r="G801" s="1"/>
      <c r="H801" s="640"/>
      <c r="I801" s="107"/>
    </row>
    <row r="802" spans="1:9" ht="20.25" customHeight="1">
      <c r="A802" s="1"/>
      <c r="B802" s="1"/>
      <c r="C802" s="1"/>
      <c r="D802" s="640"/>
      <c r="E802" s="640"/>
      <c r="F802" s="1"/>
      <c r="G802" s="1"/>
      <c r="H802" s="640"/>
      <c r="I802" s="107"/>
    </row>
    <row r="803" spans="1:9" ht="20.25" customHeight="1">
      <c r="A803" s="1"/>
      <c r="B803" s="1"/>
      <c r="C803" s="1"/>
      <c r="D803" s="640"/>
      <c r="E803" s="640"/>
      <c r="F803" s="1"/>
      <c r="G803" s="1"/>
      <c r="H803" s="640"/>
      <c r="I803" s="107"/>
    </row>
    <row r="804" spans="1:9" ht="20.25" customHeight="1">
      <c r="A804" s="1"/>
      <c r="B804" s="1"/>
      <c r="C804" s="1"/>
      <c r="D804" s="640"/>
      <c r="E804" s="640"/>
      <c r="F804" s="1"/>
      <c r="G804" s="1"/>
      <c r="H804" s="640"/>
      <c r="I804" s="107"/>
    </row>
    <row r="805" spans="1:9" ht="20.25" customHeight="1">
      <c r="A805" s="1"/>
      <c r="B805" s="1"/>
      <c r="C805" s="1"/>
      <c r="D805" s="640"/>
      <c r="E805" s="640"/>
      <c r="F805" s="1"/>
      <c r="G805" s="1"/>
      <c r="H805" s="640"/>
      <c r="I805" s="107"/>
    </row>
    <row r="806" spans="1:9" ht="20.25" customHeight="1">
      <c r="A806" s="1"/>
      <c r="B806" s="1"/>
      <c r="C806" s="1"/>
      <c r="D806" s="640"/>
      <c r="E806" s="640"/>
      <c r="F806" s="1"/>
      <c r="G806" s="1"/>
      <c r="H806" s="640"/>
      <c r="I806" s="107"/>
    </row>
    <row r="807" spans="1:9" ht="20.25" customHeight="1">
      <c r="A807" s="1"/>
      <c r="B807" s="1"/>
      <c r="C807" s="1"/>
      <c r="D807" s="640"/>
      <c r="E807" s="640"/>
      <c r="F807" s="1"/>
      <c r="G807" s="1"/>
      <c r="H807" s="640"/>
      <c r="I807" s="107"/>
    </row>
    <row r="808" spans="1:9" ht="20.25" customHeight="1">
      <c r="A808" s="1"/>
      <c r="B808" s="1"/>
      <c r="C808" s="1"/>
      <c r="D808" s="640"/>
      <c r="E808" s="640"/>
      <c r="F808" s="1"/>
      <c r="G808" s="1"/>
      <c r="H808" s="640"/>
      <c r="I808" s="107"/>
    </row>
    <row r="809" spans="1:9" ht="20.25" customHeight="1">
      <c r="A809" s="1"/>
      <c r="B809" s="1"/>
      <c r="C809" s="1"/>
      <c r="D809" s="640"/>
      <c r="E809" s="640"/>
      <c r="F809" s="1"/>
      <c r="G809" s="1"/>
      <c r="H809" s="640"/>
      <c r="I809" s="107"/>
    </row>
    <row r="810" spans="1:9" ht="20.25" customHeight="1">
      <c r="A810" s="1"/>
      <c r="B810" s="1"/>
      <c r="C810" s="1"/>
      <c r="D810" s="640"/>
      <c r="E810" s="640"/>
      <c r="F810" s="1"/>
      <c r="G810" s="1"/>
      <c r="H810" s="640"/>
      <c r="I810" s="107"/>
    </row>
    <row r="811" spans="1:9" ht="20.25" customHeight="1">
      <c r="A811" s="1"/>
      <c r="B811" s="1"/>
      <c r="C811" s="1"/>
      <c r="D811" s="640"/>
      <c r="E811" s="640"/>
      <c r="F811" s="1"/>
      <c r="G811" s="1"/>
      <c r="H811" s="640"/>
      <c r="I811" s="107"/>
    </row>
    <row r="812" spans="1:9" ht="20.25" customHeight="1">
      <c r="A812" s="1"/>
      <c r="B812" s="1"/>
      <c r="C812" s="1"/>
      <c r="D812" s="640"/>
      <c r="E812" s="640"/>
      <c r="F812" s="1"/>
      <c r="G812" s="1"/>
      <c r="H812" s="640"/>
      <c r="I812" s="107"/>
    </row>
    <row r="813" spans="1:9" ht="20.25" customHeight="1">
      <c r="A813" s="1"/>
      <c r="B813" s="1"/>
      <c r="C813" s="1"/>
      <c r="D813" s="640"/>
      <c r="E813" s="640"/>
      <c r="F813" s="1"/>
      <c r="G813" s="1"/>
      <c r="H813" s="640"/>
      <c r="I813" s="107"/>
    </row>
    <row r="814" spans="1:9" ht="20.25" customHeight="1">
      <c r="A814" s="1"/>
      <c r="B814" s="1"/>
      <c r="C814" s="1"/>
      <c r="D814" s="640"/>
      <c r="E814" s="640"/>
      <c r="F814" s="1"/>
      <c r="G814" s="1"/>
      <c r="H814" s="640"/>
      <c r="I814" s="107"/>
    </row>
    <row r="815" spans="1:9" ht="20.25" customHeight="1">
      <c r="A815" s="1"/>
      <c r="B815" s="1"/>
      <c r="C815" s="1"/>
      <c r="D815" s="640"/>
      <c r="E815" s="640"/>
      <c r="F815" s="1"/>
      <c r="G815" s="1"/>
      <c r="H815" s="640"/>
      <c r="I815" s="107"/>
    </row>
    <row r="816" spans="1:9" ht="20.25" customHeight="1">
      <c r="A816" s="1"/>
      <c r="B816" s="1"/>
      <c r="C816" s="1"/>
      <c r="D816" s="640"/>
      <c r="E816" s="640"/>
      <c r="F816" s="1"/>
      <c r="G816" s="1"/>
      <c r="H816" s="640"/>
      <c r="I816" s="107"/>
    </row>
    <row r="817" spans="1:9" ht="20.25" customHeight="1">
      <c r="A817" s="1"/>
      <c r="B817" s="1"/>
      <c r="C817" s="1"/>
      <c r="D817" s="640"/>
      <c r="E817" s="640"/>
      <c r="F817" s="1"/>
      <c r="G817" s="1"/>
      <c r="H817" s="640"/>
      <c r="I817" s="107"/>
    </row>
    <row r="818" spans="1:9" ht="20.25" customHeight="1">
      <c r="A818" s="1"/>
      <c r="B818" s="1"/>
      <c r="C818" s="1"/>
      <c r="D818" s="640"/>
      <c r="E818" s="640"/>
      <c r="F818" s="1"/>
      <c r="G818" s="1"/>
      <c r="H818" s="640"/>
      <c r="I818" s="107"/>
    </row>
    <row r="819" spans="1:9" ht="20.25" customHeight="1">
      <c r="A819" s="1"/>
      <c r="B819" s="1"/>
      <c r="C819" s="1"/>
      <c r="D819" s="640"/>
      <c r="E819" s="640"/>
      <c r="F819" s="1"/>
      <c r="G819" s="1"/>
      <c r="H819" s="640"/>
      <c r="I819" s="107"/>
    </row>
    <row r="820" spans="1:9" ht="20.25" customHeight="1">
      <c r="A820" s="1"/>
      <c r="B820" s="1"/>
      <c r="C820" s="1"/>
      <c r="D820" s="640"/>
      <c r="E820" s="640"/>
      <c r="F820" s="1"/>
      <c r="G820" s="1"/>
      <c r="H820" s="640"/>
      <c r="I820" s="107"/>
    </row>
    <row r="821" spans="1:9" ht="20.25" customHeight="1">
      <c r="A821" s="1"/>
      <c r="B821" s="1"/>
      <c r="C821" s="1"/>
      <c r="D821" s="640"/>
      <c r="E821" s="640"/>
      <c r="F821" s="1"/>
      <c r="G821" s="1"/>
      <c r="H821" s="640"/>
      <c r="I821" s="107"/>
    </row>
    <row r="822" spans="1:9" ht="20.25" customHeight="1">
      <c r="A822" s="1"/>
      <c r="B822" s="1"/>
      <c r="C822" s="1"/>
      <c r="D822" s="640"/>
      <c r="E822" s="640"/>
      <c r="F822" s="1"/>
      <c r="G822" s="1"/>
      <c r="H822" s="640"/>
      <c r="I822" s="107"/>
    </row>
    <row r="823" spans="1:9" ht="20.25" customHeight="1">
      <c r="A823" s="1"/>
      <c r="B823" s="1"/>
      <c r="C823" s="1"/>
      <c r="D823" s="640"/>
      <c r="E823" s="640"/>
      <c r="F823" s="1"/>
      <c r="G823" s="1"/>
      <c r="H823" s="640"/>
      <c r="I823" s="107"/>
    </row>
    <row r="824" spans="1:9" ht="20.25" customHeight="1">
      <c r="A824" s="1"/>
      <c r="B824" s="1"/>
      <c r="C824" s="1"/>
      <c r="D824" s="640"/>
      <c r="E824" s="640"/>
      <c r="F824" s="1"/>
      <c r="G824" s="1"/>
      <c r="H824" s="640"/>
      <c r="I824" s="107"/>
    </row>
    <row r="825" spans="1:9" ht="20.25" customHeight="1">
      <c r="A825" s="1"/>
      <c r="B825" s="1"/>
      <c r="C825" s="1"/>
      <c r="D825" s="640"/>
      <c r="E825" s="640"/>
      <c r="F825" s="1"/>
      <c r="G825" s="1"/>
      <c r="H825" s="640"/>
      <c r="I825" s="107"/>
    </row>
    <row r="826" spans="1:9" ht="20.25" customHeight="1">
      <c r="A826" s="1"/>
      <c r="B826" s="1"/>
      <c r="C826" s="1"/>
      <c r="D826" s="640"/>
      <c r="E826" s="640"/>
      <c r="F826" s="1"/>
      <c r="G826" s="1"/>
      <c r="H826" s="640"/>
      <c r="I826" s="107"/>
    </row>
    <row r="827" spans="1:9" ht="20.25" customHeight="1">
      <c r="A827" s="1"/>
      <c r="B827" s="1"/>
      <c r="C827" s="1"/>
      <c r="D827" s="640"/>
      <c r="E827" s="640"/>
      <c r="F827" s="1"/>
      <c r="G827" s="1"/>
      <c r="H827" s="640"/>
      <c r="I827" s="107"/>
    </row>
    <row r="828" spans="1:9" ht="20.25" customHeight="1">
      <c r="A828" s="1"/>
      <c r="B828" s="1"/>
      <c r="C828" s="1"/>
      <c r="D828" s="640"/>
      <c r="E828" s="640"/>
      <c r="F828" s="1"/>
      <c r="G828" s="1"/>
      <c r="H828" s="640"/>
      <c r="I828" s="107"/>
    </row>
    <row r="829" spans="1:9" ht="20.25" customHeight="1">
      <c r="A829" s="1"/>
      <c r="B829" s="1"/>
      <c r="C829" s="1"/>
      <c r="D829" s="640"/>
      <c r="E829" s="640"/>
      <c r="F829" s="1"/>
      <c r="G829" s="1"/>
      <c r="H829" s="640"/>
      <c r="I829" s="107"/>
    </row>
    <row r="830" spans="1:9" ht="20.25" customHeight="1">
      <c r="A830" s="1"/>
      <c r="B830" s="1"/>
      <c r="C830" s="1"/>
      <c r="D830" s="640"/>
      <c r="E830" s="640"/>
      <c r="F830" s="1"/>
      <c r="G830" s="1"/>
      <c r="H830" s="640"/>
      <c r="I830" s="107"/>
    </row>
    <row r="831" spans="1:9" ht="20.25" customHeight="1">
      <c r="A831" s="1"/>
      <c r="B831" s="1"/>
      <c r="C831" s="1"/>
      <c r="D831" s="640"/>
      <c r="E831" s="640"/>
      <c r="F831" s="1"/>
      <c r="G831" s="1"/>
      <c r="H831" s="640"/>
      <c r="I831" s="107"/>
    </row>
    <row r="832" spans="1:9" ht="20.25" customHeight="1">
      <c r="A832" s="1"/>
      <c r="B832" s="1"/>
      <c r="C832" s="1"/>
      <c r="D832" s="640"/>
      <c r="E832" s="640"/>
      <c r="F832" s="1"/>
      <c r="G832" s="1"/>
      <c r="H832" s="640"/>
      <c r="I832" s="107"/>
    </row>
    <row r="833" spans="1:9" ht="20.25" customHeight="1">
      <c r="A833" s="1"/>
      <c r="B833" s="1"/>
      <c r="C833" s="1"/>
      <c r="D833" s="640"/>
      <c r="E833" s="640"/>
      <c r="F833" s="1"/>
      <c r="G833" s="1"/>
      <c r="H833" s="640"/>
      <c r="I833" s="107"/>
    </row>
    <row r="834" spans="1:9" ht="20.25" customHeight="1">
      <c r="A834" s="1"/>
      <c r="B834" s="1"/>
      <c r="C834" s="1"/>
      <c r="D834" s="640"/>
      <c r="E834" s="640"/>
      <c r="F834" s="1"/>
      <c r="G834" s="1"/>
      <c r="H834" s="640"/>
      <c r="I834" s="107"/>
    </row>
    <row r="835" spans="1:9" ht="20.25" customHeight="1">
      <c r="A835" s="1"/>
      <c r="B835" s="1"/>
      <c r="C835" s="1"/>
      <c r="D835" s="640"/>
      <c r="E835" s="640"/>
      <c r="F835" s="1"/>
      <c r="G835" s="1"/>
      <c r="H835" s="640"/>
      <c r="I835" s="107"/>
    </row>
    <row r="836" spans="1:9" ht="20.25" customHeight="1">
      <c r="A836" s="1"/>
      <c r="B836" s="1"/>
      <c r="C836" s="1"/>
      <c r="D836" s="640"/>
      <c r="E836" s="640"/>
      <c r="F836" s="1"/>
      <c r="G836" s="1"/>
      <c r="H836" s="640"/>
      <c r="I836" s="107"/>
    </row>
    <row r="837" spans="1:9" ht="20.25" customHeight="1">
      <c r="A837" s="1"/>
      <c r="B837" s="1"/>
      <c r="C837" s="1"/>
      <c r="D837" s="640"/>
      <c r="E837" s="640"/>
      <c r="F837" s="1"/>
      <c r="G837" s="1"/>
      <c r="H837" s="640"/>
      <c r="I837" s="107"/>
    </row>
    <row r="838" spans="1:9" ht="20.25" customHeight="1">
      <c r="A838" s="1"/>
      <c r="B838" s="1"/>
      <c r="C838" s="1"/>
      <c r="D838" s="640"/>
      <c r="E838" s="640"/>
      <c r="F838" s="1"/>
      <c r="G838" s="1"/>
      <c r="H838" s="640"/>
      <c r="I838" s="107"/>
    </row>
    <row r="839" spans="1:9" ht="20.25" customHeight="1">
      <c r="A839" s="1"/>
      <c r="B839" s="1"/>
      <c r="C839" s="1"/>
      <c r="D839" s="640"/>
      <c r="E839" s="640"/>
      <c r="F839" s="1"/>
      <c r="G839" s="1"/>
      <c r="H839" s="640"/>
      <c r="I839" s="107"/>
    </row>
    <row r="840" spans="1:9" ht="20.25" customHeight="1">
      <c r="A840" s="1"/>
      <c r="B840" s="1"/>
      <c r="C840" s="1"/>
      <c r="D840" s="640"/>
      <c r="E840" s="640"/>
      <c r="F840" s="1"/>
      <c r="G840" s="1"/>
      <c r="H840" s="640"/>
      <c r="I840" s="107"/>
    </row>
    <row r="841" spans="1:9" ht="20.25" customHeight="1">
      <c r="A841" s="1"/>
      <c r="B841" s="1"/>
      <c r="C841" s="1"/>
      <c r="D841" s="640"/>
      <c r="E841" s="640"/>
      <c r="F841" s="1"/>
      <c r="G841" s="1"/>
      <c r="H841" s="640"/>
      <c r="I841" s="107"/>
    </row>
    <row r="842" spans="1:9" ht="20.25" customHeight="1">
      <c r="A842" s="1"/>
      <c r="B842" s="1"/>
      <c r="C842" s="1"/>
      <c r="D842" s="640"/>
      <c r="E842" s="640"/>
      <c r="F842" s="1"/>
      <c r="G842" s="1"/>
      <c r="H842" s="640"/>
      <c r="I842" s="107"/>
    </row>
    <row r="843" spans="1:9" ht="20.25" customHeight="1">
      <c r="A843" s="1"/>
      <c r="B843" s="1"/>
      <c r="C843" s="1"/>
      <c r="D843" s="640"/>
      <c r="E843" s="640"/>
      <c r="F843" s="1"/>
      <c r="G843" s="1"/>
      <c r="H843" s="640"/>
      <c r="I843" s="107"/>
    </row>
    <row r="844" spans="1:9" ht="20.25" customHeight="1">
      <c r="A844" s="1"/>
      <c r="B844" s="1"/>
      <c r="C844" s="1"/>
      <c r="D844" s="640"/>
      <c r="E844" s="640"/>
      <c r="F844" s="1"/>
      <c r="G844" s="1"/>
      <c r="H844" s="640"/>
      <c r="I844" s="107"/>
    </row>
    <row r="845" spans="1:9" ht="20.25" customHeight="1">
      <c r="A845" s="1"/>
      <c r="B845" s="1"/>
      <c r="C845" s="1"/>
      <c r="D845" s="640"/>
      <c r="E845" s="640"/>
      <c r="F845" s="1"/>
      <c r="G845" s="1"/>
      <c r="H845" s="640"/>
      <c r="I845" s="107"/>
    </row>
    <row r="846" spans="1:9" ht="20.25" customHeight="1">
      <c r="A846" s="1"/>
      <c r="B846" s="1"/>
      <c r="C846" s="1"/>
      <c r="D846" s="640"/>
      <c r="E846" s="640"/>
      <c r="F846" s="1"/>
      <c r="G846" s="1"/>
      <c r="H846" s="640"/>
      <c r="I846" s="107"/>
    </row>
    <row r="847" spans="1:9" ht="20.25" customHeight="1">
      <c r="A847" s="1"/>
      <c r="B847" s="1"/>
      <c r="C847" s="1"/>
      <c r="D847" s="640"/>
      <c r="E847" s="640"/>
      <c r="F847" s="1"/>
      <c r="G847" s="1"/>
      <c r="H847" s="640"/>
      <c r="I847" s="107"/>
    </row>
    <row r="848" spans="1:9" ht="20.25" customHeight="1">
      <c r="A848" s="1"/>
      <c r="B848" s="1"/>
      <c r="C848" s="1"/>
      <c r="D848" s="640"/>
      <c r="E848" s="640"/>
      <c r="F848" s="1"/>
      <c r="G848" s="1"/>
      <c r="H848" s="640"/>
      <c r="I848" s="107"/>
    </row>
    <row r="849" spans="1:9" ht="20.25" customHeight="1">
      <c r="A849" s="1"/>
      <c r="B849" s="1"/>
      <c r="C849" s="1"/>
      <c r="D849" s="640"/>
      <c r="E849" s="640"/>
      <c r="F849" s="1"/>
      <c r="G849" s="1"/>
      <c r="H849" s="640"/>
      <c r="I849" s="107"/>
    </row>
    <row r="850" spans="1:9" ht="20.25" customHeight="1">
      <c r="A850" s="1"/>
      <c r="B850" s="1"/>
      <c r="C850" s="1"/>
      <c r="D850" s="640"/>
      <c r="E850" s="640"/>
      <c r="F850" s="1"/>
      <c r="G850" s="1"/>
      <c r="H850" s="640"/>
      <c r="I850" s="107"/>
    </row>
    <row r="851" spans="1:9" ht="20.25" customHeight="1">
      <c r="A851" s="1"/>
      <c r="B851" s="1"/>
      <c r="C851" s="1"/>
      <c r="D851" s="640"/>
      <c r="E851" s="640"/>
      <c r="F851" s="1"/>
      <c r="G851" s="1"/>
      <c r="H851" s="640"/>
      <c r="I851" s="107"/>
    </row>
    <row r="852" spans="1:9" ht="20.25" customHeight="1">
      <c r="A852" s="1"/>
      <c r="B852" s="1"/>
      <c r="C852" s="1"/>
      <c r="D852" s="640"/>
      <c r="E852" s="640"/>
      <c r="F852" s="1"/>
      <c r="G852" s="1"/>
      <c r="H852" s="640"/>
      <c r="I852" s="107"/>
    </row>
    <row r="853" spans="1:9" ht="20.25" customHeight="1">
      <c r="A853" s="1"/>
      <c r="B853" s="1"/>
      <c r="C853" s="1"/>
      <c r="D853" s="640"/>
      <c r="E853" s="640"/>
      <c r="F853" s="1"/>
      <c r="G853" s="1"/>
      <c r="H853" s="640"/>
      <c r="I853" s="107"/>
    </row>
    <row r="854" spans="1:9" ht="20.25" customHeight="1">
      <c r="A854" s="1"/>
      <c r="B854" s="1"/>
      <c r="C854" s="1"/>
      <c r="D854" s="640"/>
      <c r="E854" s="640"/>
      <c r="F854" s="1"/>
      <c r="G854" s="1"/>
      <c r="H854" s="640"/>
      <c r="I854" s="107"/>
    </row>
    <row r="855" spans="1:9" ht="20.25" customHeight="1">
      <c r="A855" s="1"/>
      <c r="B855" s="1"/>
      <c r="C855" s="1"/>
      <c r="D855" s="640"/>
      <c r="E855" s="640"/>
      <c r="F855" s="1"/>
      <c r="G855" s="1"/>
      <c r="H855" s="640"/>
      <c r="I855" s="107"/>
    </row>
    <row r="856" spans="1:9" ht="20.25" customHeight="1">
      <c r="A856" s="1"/>
      <c r="B856" s="1"/>
      <c r="C856" s="1"/>
      <c r="D856" s="640"/>
      <c r="E856" s="640"/>
      <c r="F856" s="1"/>
      <c r="G856" s="1"/>
      <c r="H856" s="640"/>
      <c r="I856" s="107"/>
    </row>
    <row r="857" spans="1:9" ht="20.25" customHeight="1">
      <c r="A857" s="1"/>
      <c r="B857" s="1"/>
      <c r="C857" s="1"/>
      <c r="D857" s="640"/>
      <c r="E857" s="640"/>
      <c r="F857" s="1"/>
      <c r="G857" s="1"/>
      <c r="H857" s="640"/>
      <c r="I857" s="107"/>
    </row>
    <row r="858" spans="1:9" ht="20.25" customHeight="1">
      <c r="A858" s="1"/>
      <c r="B858" s="1"/>
      <c r="C858" s="1"/>
      <c r="D858" s="640"/>
      <c r="E858" s="640"/>
      <c r="F858" s="1"/>
      <c r="G858" s="1"/>
      <c r="H858" s="640"/>
      <c r="I858" s="107"/>
    </row>
    <row r="859" spans="1:9" ht="20.25" customHeight="1">
      <c r="A859" s="1"/>
      <c r="B859" s="1"/>
      <c r="C859" s="1"/>
      <c r="D859" s="640"/>
      <c r="E859" s="640"/>
      <c r="F859" s="1"/>
      <c r="G859" s="1"/>
      <c r="H859" s="640"/>
      <c r="I859" s="107"/>
    </row>
    <row r="860" spans="1:9" ht="20.25" customHeight="1">
      <c r="A860" s="1"/>
      <c r="B860" s="1"/>
      <c r="C860" s="1"/>
      <c r="D860" s="640"/>
      <c r="E860" s="640"/>
      <c r="F860" s="1"/>
      <c r="G860" s="1"/>
      <c r="H860" s="640"/>
      <c r="I860" s="107"/>
    </row>
    <row r="861" spans="1:9" ht="20.25" customHeight="1">
      <c r="A861" s="1"/>
      <c r="B861" s="1"/>
      <c r="C861" s="1"/>
      <c r="D861" s="640"/>
      <c r="E861" s="640"/>
      <c r="F861" s="1"/>
      <c r="G861" s="1"/>
      <c r="H861" s="640"/>
      <c r="I861" s="107"/>
    </row>
    <row r="862" spans="1:9" ht="20.25" customHeight="1">
      <c r="A862" s="1"/>
      <c r="B862" s="1"/>
      <c r="C862" s="1"/>
      <c r="D862" s="640"/>
      <c r="E862" s="640"/>
      <c r="F862" s="1"/>
      <c r="G862" s="1"/>
      <c r="H862" s="640"/>
      <c r="I862" s="107"/>
    </row>
    <row r="863" spans="1:9" ht="20.25" customHeight="1">
      <c r="A863" s="1"/>
      <c r="B863" s="1"/>
      <c r="C863" s="1"/>
      <c r="D863" s="640"/>
      <c r="E863" s="640"/>
      <c r="F863" s="1"/>
      <c r="G863" s="1"/>
      <c r="H863" s="640"/>
      <c r="I863" s="107"/>
    </row>
    <row r="864" spans="1:9" ht="20.25" customHeight="1">
      <c r="A864" s="1"/>
      <c r="B864" s="1"/>
      <c r="C864" s="1"/>
      <c r="D864" s="640"/>
      <c r="E864" s="640"/>
      <c r="F864" s="1"/>
      <c r="G864" s="1"/>
      <c r="H864" s="640"/>
      <c r="I864" s="107"/>
    </row>
    <row r="865" spans="1:9" ht="20.25" customHeight="1">
      <c r="A865" s="1"/>
      <c r="B865" s="1"/>
      <c r="C865" s="1"/>
      <c r="D865" s="640"/>
      <c r="E865" s="640"/>
      <c r="F865" s="1"/>
      <c r="G865" s="1"/>
      <c r="H865" s="640"/>
      <c r="I865" s="107"/>
    </row>
    <row r="866" spans="1:9" ht="20.25" customHeight="1">
      <c r="A866" s="1"/>
      <c r="B866" s="1"/>
      <c r="C866" s="1"/>
      <c r="D866" s="640"/>
      <c r="E866" s="640"/>
      <c r="F866" s="1"/>
      <c r="G866" s="1"/>
      <c r="H866" s="640"/>
      <c r="I866" s="107"/>
    </row>
    <row r="867" spans="1:9" ht="20.25" customHeight="1">
      <c r="A867" s="1"/>
      <c r="B867" s="1"/>
      <c r="C867" s="1"/>
      <c r="D867" s="640"/>
      <c r="E867" s="640"/>
      <c r="F867" s="1"/>
      <c r="G867" s="1"/>
      <c r="H867" s="640"/>
      <c r="I867" s="107"/>
    </row>
    <row r="868" spans="1:9" ht="20.25" customHeight="1">
      <c r="A868" s="1"/>
      <c r="B868" s="1"/>
      <c r="C868" s="1"/>
      <c r="D868" s="640"/>
      <c r="E868" s="640"/>
      <c r="F868" s="1"/>
      <c r="G868" s="1"/>
      <c r="H868" s="640"/>
      <c r="I868" s="107"/>
    </row>
    <row r="869" spans="1:9" ht="20.25" customHeight="1">
      <c r="A869" s="1"/>
      <c r="B869" s="1"/>
      <c r="C869" s="1"/>
      <c r="D869" s="640"/>
      <c r="E869" s="640"/>
      <c r="F869" s="1"/>
      <c r="G869" s="1"/>
      <c r="H869" s="640"/>
      <c r="I869" s="107"/>
    </row>
    <row r="870" spans="1:9" ht="20.25" customHeight="1">
      <c r="A870" s="1"/>
      <c r="B870" s="1"/>
      <c r="C870" s="1"/>
      <c r="D870" s="640"/>
      <c r="E870" s="640"/>
      <c r="F870" s="1"/>
      <c r="G870" s="1"/>
      <c r="H870" s="640"/>
      <c r="I870" s="107"/>
    </row>
    <row r="871" spans="1:9" ht="20.25" customHeight="1">
      <c r="A871" s="1"/>
      <c r="B871" s="1"/>
      <c r="C871" s="1"/>
      <c r="D871" s="640"/>
      <c r="E871" s="640"/>
      <c r="F871" s="1"/>
      <c r="G871" s="1"/>
      <c r="H871" s="640"/>
      <c r="I871" s="107"/>
    </row>
    <row r="872" spans="1:9" ht="20.25" customHeight="1">
      <c r="A872" s="1"/>
      <c r="B872" s="1"/>
      <c r="C872" s="1"/>
      <c r="D872" s="640"/>
      <c r="E872" s="640"/>
      <c r="F872" s="1"/>
      <c r="G872" s="1"/>
      <c r="H872" s="640"/>
      <c r="I872" s="107"/>
    </row>
    <row r="873" spans="1:9" ht="20.25" customHeight="1">
      <c r="A873" s="1"/>
      <c r="B873" s="1"/>
      <c r="C873" s="1"/>
      <c r="D873" s="640"/>
      <c r="E873" s="640"/>
      <c r="F873" s="1"/>
      <c r="G873" s="1"/>
      <c r="H873" s="640"/>
      <c r="I873" s="107"/>
    </row>
    <row r="874" spans="1:9" ht="20.25" customHeight="1">
      <c r="A874" s="1"/>
      <c r="B874" s="1"/>
      <c r="C874" s="1"/>
      <c r="D874" s="640"/>
      <c r="E874" s="640"/>
      <c r="F874" s="1"/>
      <c r="G874" s="1"/>
      <c r="H874" s="640"/>
      <c r="I874" s="107"/>
    </row>
    <row r="875" spans="1:9" ht="20.25" customHeight="1">
      <c r="A875" s="1"/>
      <c r="B875" s="1"/>
      <c r="C875" s="1"/>
      <c r="D875" s="640"/>
      <c r="E875" s="640"/>
      <c r="F875" s="1"/>
      <c r="G875" s="1"/>
      <c r="H875" s="640"/>
      <c r="I875" s="107"/>
    </row>
    <row r="876" spans="1:9" ht="20.25" customHeight="1">
      <c r="A876" s="1"/>
      <c r="B876" s="1"/>
      <c r="C876" s="1"/>
      <c r="D876" s="640"/>
      <c r="E876" s="640"/>
      <c r="F876" s="1"/>
      <c r="G876" s="1"/>
      <c r="H876" s="640"/>
      <c r="I876" s="107"/>
    </row>
    <row r="877" spans="1:9" ht="20.25" customHeight="1">
      <c r="A877" s="1"/>
      <c r="B877" s="1"/>
      <c r="C877" s="1"/>
      <c r="D877" s="640"/>
      <c r="E877" s="640"/>
      <c r="F877" s="1"/>
      <c r="G877" s="1"/>
      <c r="H877" s="640"/>
      <c r="I877" s="107"/>
    </row>
    <row r="878" spans="1:9" ht="20.25" customHeight="1">
      <c r="A878" s="1"/>
      <c r="B878" s="1"/>
      <c r="C878" s="1"/>
      <c r="D878" s="640"/>
      <c r="E878" s="640"/>
      <c r="F878" s="1"/>
      <c r="G878" s="1"/>
      <c r="H878" s="640"/>
      <c r="I878" s="107"/>
    </row>
    <row r="879" spans="1:9" ht="20.25" customHeight="1">
      <c r="A879" s="1"/>
      <c r="B879" s="1"/>
      <c r="C879" s="1"/>
      <c r="D879" s="640"/>
      <c r="E879" s="640"/>
      <c r="F879" s="1"/>
      <c r="G879" s="1"/>
      <c r="H879" s="640"/>
      <c r="I879" s="107"/>
    </row>
    <row r="880" spans="1:9" ht="20.25" customHeight="1">
      <c r="A880" s="1"/>
      <c r="B880" s="1"/>
      <c r="C880" s="1"/>
      <c r="D880" s="640"/>
      <c r="E880" s="640"/>
      <c r="F880" s="1"/>
      <c r="G880" s="1"/>
      <c r="H880" s="640"/>
      <c r="I880" s="107"/>
    </row>
    <row r="881" spans="1:9" ht="20.25" customHeight="1">
      <c r="A881" s="1"/>
      <c r="B881" s="1"/>
      <c r="C881" s="1"/>
      <c r="D881" s="640"/>
      <c r="E881" s="640"/>
      <c r="F881" s="1"/>
      <c r="G881" s="1"/>
      <c r="H881" s="640"/>
      <c r="I881" s="107"/>
    </row>
    <row r="882" spans="1:9" ht="20.25" customHeight="1">
      <c r="A882" s="1"/>
      <c r="B882" s="1"/>
      <c r="C882" s="1"/>
      <c r="D882" s="640"/>
      <c r="E882" s="640"/>
      <c r="F882" s="1"/>
      <c r="G882" s="1"/>
      <c r="H882" s="640"/>
      <c r="I882" s="107"/>
    </row>
    <row r="883" spans="1:9" ht="20.25" customHeight="1">
      <c r="A883" s="1"/>
      <c r="B883" s="1"/>
      <c r="C883" s="1"/>
      <c r="D883" s="640"/>
      <c r="E883" s="640"/>
      <c r="F883" s="1"/>
      <c r="G883" s="1"/>
      <c r="H883" s="640"/>
      <c r="I883" s="107"/>
    </row>
    <row r="884" spans="1:9" ht="20.25" customHeight="1">
      <c r="A884" s="1"/>
      <c r="B884" s="1"/>
      <c r="C884" s="1"/>
      <c r="D884" s="640"/>
      <c r="E884" s="640"/>
      <c r="F884" s="1"/>
      <c r="G884" s="1"/>
      <c r="H884" s="640"/>
      <c r="I884" s="107"/>
    </row>
    <row r="885" spans="1:9" ht="20.25" customHeight="1">
      <c r="A885" s="1"/>
      <c r="B885" s="1"/>
      <c r="C885" s="1"/>
      <c r="D885" s="640"/>
      <c r="E885" s="640"/>
      <c r="F885" s="1"/>
      <c r="G885" s="1"/>
      <c r="H885" s="640"/>
      <c r="I885" s="107"/>
    </row>
    <row r="886" spans="1:9" ht="20.25" customHeight="1">
      <c r="A886" s="1"/>
      <c r="B886" s="1"/>
      <c r="C886" s="1"/>
      <c r="D886" s="640"/>
      <c r="E886" s="640"/>
      <c r="F886" s="1"/>
      <c r="G886" s="1"/>
      <c r="H886" s="640"/>
      <c r="I886" s="107"/>
    </row>
    <row r="887" spans="1:9" ht="20.25" customHeight="1">
      <c r="A887" s="1"/>
      <c r="B887" s="1"/>
      <c r="C887" s="1"/>
      <c r="D887" s="640"/>
      <c r="E887" s="640"/>
      <c r="F887" s="1"/>
      <c r="G887" s="1"/>
      <c r="H887" s="640"/>
      <c r="I887" s="107"/>
    </row>
    <row r="888" spans="1:9" ht="20.25" customHeight="1">
      <c r="A888" s="1"/>
      <c r="B888" s="1"/>
      <c r="C888" s="1"/>
      <c r="D888" s="640"/>
      <c r="E888" s="640"/>
      <c r="F888" s="1"/>
      <c r="G888" s="1"/>
      <c r="H888" s="640"/>
      <c r="I888" s="107"/>
    </row>
    <row r="889" spans="1:9" ht="20.25" customHeight="1">
      <c r="A889" s="1"/>
      <c r="B889" s="1"/>
      <c r="C889" s="1"/>
      <c r="D889" s="640"/>
      <c r="E889" s="640"/>
      <c r="F889" s="1"/>
      <c r="G889" s="1"/>
      <c r="H889" s="640"/>
      <c r="I889" s="107"/>
    </row>
    <row r="890" spans="1:9" ht="20.25" customHeight="1">
      <c r="A890" s="1"/>
      <c r="B890" s="1"/>
      <c r="C890" s="1"/>
      <c r="D890" s="640"/>
      <c r="E890" s="640"/>
      <c r="F890" s="1"/>
      <c r="G890" s="1"/>
      <c r="H890" s="640"/>
      <c r="I890" s="107"/>
    </row>
    <row r="891" spans="1:9" ht="20.25" customHeight="1">
      <c r="A891" s="1"/>
      <c r="B891" s="1"/>
      <c r="C891" s="1"/>
      <c r="D891" s="640"/>
      <c r="E891" s="640"/>
      <c r="F891" s="1"/>
      <c r="G891" s="1"/>
      <c r="H891" s="640"/>
      <c r="I891" s="107"/>
    </row>
    <row r="892" spans="1:9" ht="20.25" customHeight="1">
      <c r="A892" s="1"/>
      <c r="B892" s="1"/>
      <c r="C892" s="1"/>
      <c r="D892" s="640"/>
      <c r="E892" s="640"/>
      <c r="F892" s="1"/>
      <c r="G892" s="1"/>
      <c r="H892" s="640"/>
      <c r="I892" s="107"/>
    </row>
    <row r="893" spans="1:9" ht="20.25" customHeight="1">
      <c r="A893" s="1"/>
      <c r="B893" s="1"/>
      <c r="C893" s="1"/>
      <c r="D893" s="640"/>
      <c r="E893" s="640"/>
      <c r="F893" s="1"/>
      <c r="G893" s="1"/>
      <c r="H893" s="640"/>
      <c r="I893" s="107"/>
    </row>
    <row r="894" spans="1:9" ht="20.25" customHeight="1">
      <c r="A894" s="1"/>
      <c r="B894" s="1"/>
      <c r="C894" s="1"/>
      <c r="D894" s="640"/>
      <c r="E894" s="640"/>
      <c r="F894" s="1"/>
      <c r="G894" s="1"/>
      <c r="H894" s="640"/>
      <c r="I894" s="107"/>
    </row>
    <row r="895" spans="1:9" ht="20.25" customHeight="1">
      <c r="A895" s="1"/>
      <c r="B895" s="1"/>
      <c r="C895" s="1"/>
      <c r="D895" s="640"/>
      <c r="E895" s="640"/>
      <c r="F895" s="1"/>
      <c r="G895" s="1"/>
      <c r="H895" s="640"/>
      <c r="I895" s="107"/>
    </row>
    <row r="896" spans="1:9" ht="20.25" customHeight="1">
      <c r="A896" s="1"/>
      <c r="B896" s="1"/>
      <c r="C896" s="1"/>
      <c r="D896" s="640"/>
      <c r="E896" s="640"/>
      <c r="F896" s="1"/>
      <c r="G896" s="1"/>
      <c r="H896" s="640"/>
      <c r="I896" s="107"/>
    </row>
    <row r="897" spans="1:9" ht="20.25" customHeight="1">
      <c r="A897" s="1"/>
      <c r="B897" s="1"/>
      <c r="C897" s="1"/>
      <c r="D897" s="640"/>
      <c r="E897" s="640"/>
      <c r="F897" s="1"/>
      <c r="G897" s="1"/>
      <c r="H897" s="640"/>
      <c r="I897" s="107"/>
    </row>
    <row r="898" spans="1:9" ht="20.25" customHeight="1">
      <c r="A898" s="1"/>
      <c r="B898" s="1"/>
      <c r="C898" s="1"/>
      <c r="D898" s="640"/>
      <c r="E898" s="640"/>
      <c r="F898" s="1"/>
      <c r="G898" s="1"/>
      <c r="H898" s="640"/>
      <c r="I898" s="107"/>
    </row>
    <row r="899" spans="1:9" ht="20.25" customHeight="1">
      <c r="A899" s="1"/>
      <c r="B899" s="1"/>
      <c r="C899" s="1"/>
      <c r="D899" s="640"/>
      <c r="E899" s="640"/>
      <c r="F899" s="1"/>
      <c r="G899" s="1"/>
      <c r="H899" s="640"/>
      <c r="I899" s="107"/>
    </row>
    <row r="900" spans="1:9" ht="20.25" customHeight="1">
      <c r="A900" s="1"/>
      <c r="B900" s="1"/>
      <c r="C900" s="1"/>
      <c r="D900" s="640"/>
      <c r="E900" s="640"/>
      <c r="F900" s="1"/>
      <c r="G900" s="1"/>
      <c r="H900" s="640"/>
      <c r="I900" s="107"/>
    </row>
    <row r="901" spans="1:9" ht="20.25" customHeight="1">
      <c r="A901" s="1"/>
      <c r="B901" s="1"/>
      <c r="C901" s="1"/>
      <c r="D901" s="640"/>
      <c r="E901" s="640"/>
      <c r="F901" s="1"/>
      <c r="G901" s="1"/>
      <c r="H901" s="640"/>
      <c r="I901" s="107"/>
    </row>
    <row r="902" spans="1:9" ht="20.25" customHeight="1">
      <c r="A902" s="1"/>
      <c r="B902" s="1"/>
      <c r="C902" s="1"/>
      <c r="D902" s="640"/>
      <c r="E902" s="640"/>
      <c r="F902" s="1"/>
      <c r="G902" s="1"/>
      <c r="H902" s="640"/>
      <c r="I902" s="107"/>
    </row>
    <row r="903" spans="1:9" ht="20.25" customHeight="1">
      <c r="A903" s="1"/>
      <c r="B903" s="1"/>
      <c r="C903" s="1"/>
      <c r="D903" s="640"/>
      <c r="E903" s="640"/>
      <c r="F903" s="1"/>
      <c r="G903" s="1"/>
      <c r="H903" s="640"/>
      <c r="I903" s="107"/>
    </row>
    <row r="904" spans="1:9" ht="20.25" customHeight="1">
      <c r="A904" s="1"/>
      <c r="B904" s="1"/>
      <c r="C904" s="1"/>
      <c r="D904" s="640"/>
      <c r="E904" s="640"/>
      <c r="F904" s="1"/>
      <c r="G904" s="1"/>
      <c r="H904" s="640"/>
      <c r="I904" s="107"/>
    </row>
    <row r="905" spans="1:9" ht="20.25" customHeight="1">
      <c r="A905" s="1"/>
      <c r="B905" s="1"/>
      <c r="C905" s="1"/>
      <c r="D905" s="640"/>
      <c r="E905" s="640"/>
      <c r="F905" s="1"/>
      <c r="G905" s="1"/>
      <c r="H905" s="640"/>
      <c r="I905" s="107"/>
    </row>
    <row r="906" spans="1:9" ht="20.25" customHeight="1">
      <c r="A906" s="1"/>
      <c r="B906" s="1"/>
      <c r="C906" s="1"/>
      <c r="D906" s="640"/>
      <c r="E906" s="640"/>
      <c r="F906" s="1"/>
      <c r="G906" s="1"/>
      <c r="H906" s="640"/>
      <c r="I906" s="107"/>
    </row>
    <row r="907" spans="1:9" ht="20.25" customHeight="1">
      <c r="A907" s="1"/>
      <c r="B907" s="1"/>
      <c r="C907" s="1"/>
      <c r="D907" s="640"/>
      <c r="E907" s="640"/>
      <c r="F907" s="1"/>
      <c r="G907" s="1"/>
      <c r="H907" s="640"/>
      <c r="I907" s="107"/>
    </row>
    <row r="908" spans="1:9" ht="20.25" customHeight="1">
      <c r="A908" s="1"/>
      <c r="B908" s="1"/>
      <c r="C908" s="1"/>
      <c r="D908" s="640"/>
      <c r="E908" s="640"/>
      <c r="F908" s="1"/>
      <c r="G908" s="1"/>
      <c r="H908" s="640"/>
      <c r="I908" s="107"/>
    </row>
    <row r="909" spans="1:9" ht="20.25" customHeight="1">
      <c r="A909" s="1"/>
      <c r="B909" s="1"/>
      <c r="C909" s="1"/>
      <c r="D909" s="640"/>
      <c r="E909" s="640"/>
      <c r="F909" s="1"/>
      <c r="G909" s="1"/>
      <c r="H909" s="640"/>
      <c r="I909" s="107"/>
    </row>
    <row r="910" spans="1:9" ht="20.25" customHeight="1">
      <c r="A910" s="1"/>
      <c r="B910" s="1"/>
      <c r="C910" s="1"/>
      <c r="D910" s="640"/>
      <c r="E910" s="640"/>
      <c r="F910" s="1"/>
      <c r="G910" s="1"/>
      <c r="H910" s="640"/>
      <c r="I910" s="107"/>
    </row>
    <row r="911" spans="1:9" ht="20.25" customHeight="1">
      <c r="A911" s="1"/>
      <c r="B911" s="1"/>
      <c r="C911" s="1"/>
      <c r="D911" s="640"/>
      <c r="E911" s="640"/>
      <c r="F911" s="1"/>
      <c r="G911" s="1"/>
      <c r="H911" s="640"/>
      <c r="I911" s="107"/>
    </row>
    <row r="912" spans="1:9" ht="20.25" customHeight="1">
      <c r="A912" s="1"/>
      <c r="B912" s="1"/>
      <c r="C912" s="1"/>
      <c r="D912" s="640"/>
      <c r="E912" s="640"/>
      <c r="F912" s="1"/>
      <c r="G912" s="1"/>
      <c r="H912" s="640"/>
      <c r="I912" s="107"/>
    </row>
    <row r="913" spans="1:9" ht="20.25" customHeight="1">
      <c r="A913" s="1"/>
      <c r="B913" s="1"/>
      <c r="C913" s="1"/>
      <c r="D913" s="640"/>
      <c r="E913" s="640"/>
      <c r="F913" s="1"/>
      <c r="G913" s="1"/>
      <c r="H913" s="640"/>
      <c r="I913" s="107"/>
    </row>
    <row r="914" spans="1:9" ht="20.25" customHeight="1">
      <c r="A914" s="1"/>
      <c r="B914" s="1"/>
      <c r="C914" s="1"/>
      <c r="D914" s="640"/>
      <c r="E914" s="640"/>
      <c r="F914" s="1"/>
      <c r="G914" s="1"/>
      <c r="H914" s="640"/>
      <c r="I914" s="107"/>
    </row>
    <row r="915" spans="1:9" ht="20.25" customHeight="1">
      <c r="A915" s="1"/>
      <c r="B915" s="1"/>
      <c r="C915" s="1"/>
      <c r="D915" s="640"/>
      <c r="E915" s="640"/>
      <c r="F915" s="1"/>
      <c r="G915" s="1"/>
      <c r="H915" s="640"/>
      <c r="I915" s="107"/>
    </row>
    <row r="916" spans="1:9" ht="20.25" customHeight="1">
      <c r="A916" s="1"/>
      <c r="B916" s="1"/>
      <c r="C916" s="1"/>
      <c r="D916" s="640"/>
      <c r="E916" s="640"/>
      <c r="F916" s="1"/>
      <c r="G916" s="1"/>
      <c r="H916" s="640"/>
      <c r="I916" s="107"/>
    </row>
    <row r="917" spans="1:9" ht="20.25" customHeight="1">
      <c r="A917" s="1"/>
      <c r="B917" s="1"/>
      <c r="C917" s="1"/>
      <c r="D917" s="640"/>
      <c r="E917" s="640"/>
      <c r="F917" s="1"/>
      <c r="G917" s="1"/>
      <c r="H917" s="640"/>
      <c r="I917" s="107"/>
    </row>
    <row r="918" spans="1:9" ht="20.25" customHeight="1">
      <c r="A918" s="1"/>
      <c r="B918" s="1"/>
      <c r="C918" s="1"/>
      <c r="D918" s="640"/>
      <c r="E918" s="640"/>
      <c r="F918" s="1"/>
      <c r="G918" s="1"/>
      <c r="H918" s="640"/>
      <c r="I918" s="107"/>
    </row>
    <row r="919" spans="1:9" ht="20.25" customHeight="1">
      <c r="A919" s="1"/>
      <c r="B919" s="1"/>
      <c r="C919" s="1"/>
      <c r="D919" s="640"/>
      <c r="E919" s="640"/>
      <c r="F919" s="1"/>
      <c r="G919" s="1"/>
      <c r="H919" s="640"/>
      <c r="I919" s="107"/>
    </row>
    <row r="920" spans="1:9" ht="20.25" customHeight="1">
      <c r="A920" s="1"/>
      <c r="B920" s="1"/>
      <c r="C920" s="1"/>
      <c r="D920" s="640"/>
      <c r="E920" s="640"/>
      <c r="F920" s="1"/>
      <c r="G920" s="1"/>
      <c r="H920" s="640"/>
      <c r="I920" s="107"/>
    </row>
    <row r="921" spans="1:9" ht="20.25" customHeight="1">
      <c r="A921" s="1"/>
      <c r="B921" s="1"/>
      <c r="C921" s="1"/>
      <c r="D921" s="640"/>
      <c r="E921" s="640"/>
      <c r="F921" s="1"/>
      <c r="G921" s="1"/>
      <c r="H921" s="640"/>
      <c r="I921" s="107"/>
    </row>
    <row r="922" spans="1:9" ht="20.25" customHeight="1">
      <c r="A922" s="1"/>
      <c r="B922" s="1"/>
      <c r="C922" s="1"/>
      <c r="D922" s="640"/>
      <c r="E922" s="640"/>
      <c r="F922" s="1"/>
      <c r="G922" s="1"/>
      <c r="H922" s="640"/>
      <c r="I922" s="107"/>
    </row>
    <row r="923" spans="1:9" ht="20.25" customHeight="1">
      <c r="A923" s="1"/>
      <c r="B923" s="1"/>
      <c r="C923" s="1"/>
      <c r="D923" s="640"/>
      <c r="E923" s="640"/>
      <c r="F923" s="1"/>
      <c r="G923" s="1"/>
      <c r="H923" s="640"/>
      <c r="I923" s="107"/>
    </row>
    <row r="924" spans="1:9" ht="20.25" customHeight="1">
      <c r="A924" s="1"/>
      <c r="B924" s="1"/>
      <c r="C924" s="1"/>
      <c r="D924" s="640"/>
      <c r="E924" s="640"/>
      <c r="F924" s="1"/>
      <c r="G924" s="1"/>
      <c r="H924" s="640"/>
      <c r="I924" s="107"/>
    </row>
    <row r="925" spans="1:9" ht="20.25" customHeight="1">
      <c r="A925" s="1"/>
      <c r="B925" s="1"/>
      <c r="C925" s="1"/>
      <c r="D925" s="640"/>
      <c r="E925" s="640"/>
      <c r="F925" s="1"/>
      <c r="G925" s="1"/>
      <c r="H925" s="640"/>
      <c r="I925" s="107"/>
    </row>
    <row r="926" spans="1:9" ht="20.25" customHeight="1">
      <c r="A926" s="1"/>
      <c r="B926" s="1"/>
      <c r="C926" s="1"/>
      <c r="D926" s="640"/>
      <c r="E926" s="640"/>
      <c r="F926" s="1"/>
      <c r="G926" s="1"/>
      <c r="H926" s="640"/>
      <c r="I926" s="107"/>
    </row>
    <row r="927" spans="1:9" ht="20.25" customHeight="1">
      <c r="A927" s="1"/>
      <c r="B927" s="1"/>
      <c r="C927" s="1"/>
      <c r="D927" s="640"/>
      <c r="E927" s="640"/>
      <c r="F927" s="1"/>
      <c r="G927" s="1"/>
      <c r="H927" s="640"/>
      <c r="I927" s="107"/>
    </row>
    <row r="928" spans="1:9" ht="20.25" customHeight="1">
      <c r="A928" s="1"/>
      <c r="B928" s="1"/>
      <c r="C928" s="1"/>
      <c r="D928" s="640"/>
      <c r="E928" s="640"/>
      <c r="F928" s="1"/>
      <c r="G928" s="1"/>
      <c r="H928" s="640"/>
      <c r="I928" s="107"/>
    </row>
    <row r="929" spans="1:9" ht="20.25" customHeight="1">
      <c r="A929" s="1"/>
      <c r="B929" s="1"/>
      <c r="C929" s="1"/>
      <c r="D929" s="640"/>
      <c r="E929" s="640"/>
      <c r="F929" s="1"/>
      <c r="G929" s="1"/>
      <c r="H929" s="640"/>
      <c r="I929" s="107"/>
    </row>
    <row r="930" spans="1:9" ht="20.25" customHeight="1">
      <c r="A930" s="1"/>
      <c r="B930" s="1"/>
      <c r="C930" s="1"/>
      <c r="D930" s="640"/>
      <c r="E930" s="640"/>
      <c r="F930" s="1"/>
      <c r="G930" s="1"/>
      <c r="H930" s="640"/>
      <c r="I930" s="107"/>
    </row>
    <row r="931" spans="1:9" ht="20.25" customHeight="1">
      <c r="A931" s="1"/>
      <c r="B931" s="1"/>
      <c r="C931" s="1"/>
      <c r="D931" s="640"/>
      <c r="E931" s="640"/>
      <c r="F931" s="1"/>
      <c r="G931" s="1"/>
      <c r="H931" s="640"/>
      <c r="I931" s="107"/>
    </row>
    <row r="932" spans="1:9" ht="20.25" customHeight="1">
      <c r="A932" s="1"/>
      <c r="B932" s="1"/>
      <c r="C932" s="1"/>
      <c r="D932" s="640"/>
      <c r="E932" s="640"/>
      <c r="F932" s="1"/>
      <c r="G932" s="1"/>
      <c r="H932" s="640"/>
      <c r="I932" s="107"/>
    </row>
    <row r="933" spans="1:9" ht="20.25" customHeight="1">
      <c r="A933" s="1"/>
      <c r="B933" s="1"/>
      <c r="C933" s="1"/>
      <c r="D933" s="640"/>
      <c r="E933" s="640"/>
      <c r="F933" s="1"/>
      <c r="G933" s="1"/>
      <c r="H933" s="640"/>
      <c r="I933" s="107"/>
    </row>
    <row r="934" spans="1:9" ht="20.25" customHeight="1">
      <c r="A934" s="1"/>
      <c r="B934" s="1"/>
      <c r="C934" s="1"/>
      <c r="D934" s="640"/>
      <c r="E934" s="640"/>
      <c r="F934" s="1"/>
      <c r="G934" s="1"/>
      <c r="H934" s="640"/>
      <c r="I934" s="107"/>
    </row>
    <row r="935" spans="1:9" ht="20.25" customHeight="1">
      <c r="A935" s="1"/>
      <c r="B935" s="1"/>
      <c r="C935" s="1"/>
      <c r="D935" s="640"/>
      <c r="E935" s="640"/>
      <c r="F935" s="1"/>
      <c r="G935" s="1"/>
      <c r="H935" s="640"/>
      <c r="I935" s="107"/>
    </row>
    <row r="936" spans="1:9" ht="20.25" customHeight="1">
      <c r="A936" s="1"/>
      <c r="B936" s="1"/>
      <c r="C936" s="1"/>
      <c r="D936" s="640"/>
      <c r="E936" s="640"/>
      <c r="F936" s="1"/>
      <c r="G936" s="1"/>
      <c r="H936" s="640"/>
      <c r="I936" s="107"/>
    </row>
    <row r="937" spans="1:9" ht="20.25" customHeight="1">
      <c r="A937" s="1"/>
      <c r="B937" s="1"/>
      <c r="C937" s="1"/>
      <c r="D937" s="640"/>
      <c r="E937" s="640"/>
      <c r="F937" s="1"/>
      <c r="G937" s="1"/>
      <c r="H937" s="640"/>
      <c r="I937" s="107"/>
    </row>
    <row r="938" spans="1:9" ht="20.25" customHeight="1">
      <c r="A938" s="1"/>
      <c r="B938" s="1"/>
      <c r="C938" s="1"/>
      <c r="D938" s="640"/>
      <c r="E938" s="640"/>
      <c r="F938" s="1"/>
      <c r="G938" s="1"/>
      <c r="H938" s="640"/>
      <c r="I938" s="107"/>
    </row>
    <row r="939" spans="1:9" ht="20.25" customHeight="1">
      <c r="A939" s="1"/>
      <c r="B939" s="1"/>
      <c r="C939" s="1"/>
      <c r="D939" s="640"/>
      <c r="E939" s="640"/>
      <c r="F939" s="1"/>
      <c r="G939" s="1"/>
      <c r="H939" s="640"/>
      <c r="I939" s="107"/>
    </row>
    <row r="940" spans="1:9" ht="20.25" customHeight="1">
      <c r="A940" s="1"/>
      <c r="B940" s="1"/>
      <c r="C940" s="1"/>
      <c r="D940" s="640"/>
      <c r="E940" s="640"/>
      <c r="F940" s="1"/>
      <c r="G940" s="1"/>
      <c r="H940" s="640"/>
      <c r="I940" s="107"/>
    </row>
    <row r="941" spans="1:9" ht="20.25" customHeight="1">
      <c r="A941" s="1"/>
      <c r="B941" s="1"/>
      <c r="C941" s="1"/>
      <c r="D941" s="640"/>
      <c r="E941" s="640"/>
      <c r="F941" s="1"/>
      <c r="G941" s="1"/>
      <c r="H941" s="640"/>
      <c r="I941" s="107"/>
    </row>
    <row r="942" spans="1:9" ht="20.25" customHeight="1">
      <c r="A942" s="1"/>
      <c r="B942" s="1"/>
      <c r="C942" s="1"/>
      <c r="D942" s="640"/>
      <c r="E942" s="640"/>
      <c r="F942" s="1"/>
      <c r="G942" s="1"/>
      <c r="H942" s="640"/>
      <c r="I942" s="107"/>
    </row>
    <row r="943" spans="1:9" ht="20.25" customHeight="1">
      <c r="A943" s="1"/>
      <c r="B943" s="1"/>
      <c r="C943" s="1"/>
      <c r="D943" s="640"/>
      <c r="E943" s="640"/>
      <c r="F943" s="1"/>
      <c r="G943" s="1"/>
      <c r="H943" s="640"/>
      <c r="I943" s="107"/>
    </row>
    <row r="944" spans="1:9" ht="20.25" customHeight="1">
      <c r="A944" s="1"/>
      <c r="B944" s="1"/>
      <c r="C944" s="1"/>
      <c r="D944" s="640"/>
      <c r="E944" s="640"/>
      <c r="F944" s="1"/>
      <c r="G944" s="1"/>
      <c r="H944" s="640"/>
      <c r="I944" s="107"/>
    </row>
    <row r="945" spans="1:9" ht="20.25" customHeight="1">
      <c r="A945" s="1"/>
      <c r="B945" s="1"/>
      <c r="C945" s="1"/>
      <c r="D945" s="640"/>
      <c r="E945" s="640"/>
      <c r="F945" s="1"/>
      <c r="G945" s="1"/>
      <c r="H945" s="640"/>
      <c r="I945" s="107"/>
    </row>
    <row r="946" spans="1:9" ht="20.25" customHeight="1">
      <c r="A946" s="1"/>
      <c r="B946" s="1"/>
      <c r="C946" s="1"/>
      <c r="D946" s="640"/>
      <c r="E946" s="640"/>
      <c r="F946" s="1"/>
      <c r="G946" s="1"/>
      <c r="H946" s="640"/>
      <c r="I946" s="107"/>
    </row>
    <row r="947" spans="1:9" ht="20.25" customHeight="1">
      <c r="A947" s="1"/>
      <c r="B947" s="1"/>
      <c r="C947" s="1"/>
      <c r="D947" s="640"/>
      <c r="E947" s="640"/>
      <c r="F947" s="1"/>
      <c r="G947" s="1"/>
      <c r="H947" s="640"/>
      <c r="I947" s="107"/>
    </row>
    <row r="948" spans="1:9" ht="20.25" customHeight="1">
      <c r="A948" s="1"/>
      <c r="B948" s="1"/>
      <c r="C948" s="1"/>
      <c r="D948" s="640"/>
      <c r="E948" s="640"/>
      <c r="F948" s="1"/>
      <c r="G948" s="1"/>
      <c r="H948" s="640"/>
      <c r="I948" s="107"/>
    </row>
    <row r="949" spans="1:9" ht="20.25" customHeight="1">
      <c r="A949" s="1"/>
      <c r="B949" s="1"/>
      <c r="C949" s="1"/>
      <c r="D949" s="640"/>
      <c r="E949" s="640"/>
      <c r="F949" s="1"/>
      <c r="G949" s="1"/>
      <c r="H949" s="640"/>
      <c r="I949" s="107"/>
    </row>
    <row r="950" spans="1:9" ht="20.25" customHeight="1">
      <c r="A950" s="1"/>
      <c r="B950" s="1"/>
      <c r="C950" s="1"/>
      <c r="D950" s="640"/>
      <c r="E950" s="640"/>
      <c r="F950" s="1"/>
      <c r="G950" s="1"/>
      <c r="H950" s="640"/>
      <c r="I950" s="107"/>
    </row>
    <row r="951" spans="1:9" ht="20.25" customHeight="1">
      <c r="A951" s="1"/>
      <c r="B951" s="1"/>
      <c r="C951" s="1"/>
      <c r="D951" s="640"/>
      <c r="E951" s="640"/>
      <c r="F951" s="1"/>
      <c r="G951" s="1"/>
      <c r="H951" s="640"/>
      <c r="I951" s="107"/>
    </row>
    <row r="952" spans="1:9" ht="20.25" customHeight="1">
      <c r="A952" s="1"/>
      <c r="B952" s="1"/>
      <c r="C952" s="1"/>
      <c r="D952" s="640"/>
      <c r="E952" s="640"/>
      <c r="F952" s="1"/>
      <c r="G952" s="1"/>
      <c r="H952" s="640"/>
      <c r="I952" s="107"/>
    </row>
    <row r="953" spans="1:9" ht="20.25" customHeight="1">
      <c r="A953" s="1"/>
      <c r="B953" s="1"/>
      <c r="C953" s="1"/>
      <c r="D953" s="640"/>
      <c r="E953" s="640"/>
      <c r="F953" s="1"/>
      <c r="G953" s="1"/>
      <c r="H953" s="640"/>
      <c r="I953" s="107"/>
    </row>
    <row r="954" spans="1:9" ht="20.25" customHeight="1">
      <c r="A954" s="1"/>
      <c r="B954" s="1"/>
      <c r="C954" s="1"/>
      <c r="D954" s="640"/>
      <c r="E954" s="640"/>
      <c r="F954" s="1"/>
      <c r="G954" s="1"/>
      <c r="H954" s="640"/>
      <c r="I954" s="107"/>
    </row>
    <row r="955" spans="1:9" ht="20.25" customHeight="1">
      <c r="A955" s="1"/>
      <c r="B955" s="1"/>
      <c r="C955" s="1"/>
      <c r="D955" s="640"/>
      <c r="E955" s="640"/>
      <c r="F955" s="1"/>
      <c r="G955" s="1"/>
      <c r="H955" s="640"/>
      <c r="I955" s="107"/>
    </row>
    <row r="956" spans="1:9" ht="20.25" customHeight="1">
      <c r="A956" s="1"/>
      <c r="B956" s="1"/>
      <c r="C956" s="1"/>
      <c r="D956" s="640"/>
      <c r="E956" s="640"/>
      <c r="F956" s="1"/>
      <c r="G956" s="1"/>
      <c r="H956" s="640"/>
      <c r="I956" s="107"/>
    </row>
    <row r="957" spans="1:9" ht="20.25" customHeight="1">
      <c r="A957" s="1"/>
      <c r="B957" s="1"/>
      <c r="C957" s="1"/>
      <c r="D957" s="640"/>
      <c r="E957" s="640"/>
      <c r="F957" s="1"/>
      <c r="G957" s="1"/>
      <c r="H957" s="640"/>
      <c r="I957" s="107"/>
    </row>
    <row r="958" spans="1:9" ht="20.25" customHeight="1">
      <c r="A958" s="1"/>
      <c r="B958" s="1"/>
      <c r="C958" s="1"/>
      <c r="D958" s="640"/>
      <c r="E958" s="640"/>
      <c r="F958" s="1"/>
      <c r="G958" s="1"/>
      <c r="H958" s="640"/>
      <c r="I958" s="107"/>
    </row>
    <row r="959" spans="1:9" ht="20.25" customHeight="1">
      <c r="A959" s="1"/>
      <c r="B959" s="1"/>
      <c r="C959" s="1"/>
      <c r="D959" s="640"/>
      <c r="E959" s="640"/>
      <c r="F959" s="1"/>
      <c r="G959" s="1"/>
      <c r="H959" s="640"/>
      <c r="I959" s="107"/>
    </row>
    <row r="960" spans="1:9" ht="20.25" customHeight="1">
      <c r="A960" s="1"/>
      <c r="B960" s="1"/>
      <c r="C960" s="1"/>
      <c r="D960" s="640"/>
      <c r="E960" s="640"/>
      <c r="F960" s="1"/>
      <c r="G960" s="1"/>
      <c r="H960" s="640"/>
      <c r="I960" s="107"/>
    </row>
    <row r="961" spans="1:9" ht="20.25" customHeight="1">
      <c r="A961" s="1"/>
      <c r="B961" s="1"/>
      <c r="C961" s="1"/>
      <c r="D961" s="640"/>
      <c r="E961" s="640"/>
      <c r="F961" s="1"/>
      <c r="G961" s="1"/>
      <c r="H961" s="640"/>
      <c r="I961" s="107"/>
    </row>
    <row r="962" spans="1:9" ht="20.25" customHeight="1">
      <c r="A962" s="1"/>
      <c r="B962" s="1"/>
      <c r="C962" s="1"/>
      <c r="D962" s="640"/>
      <c r="E962" s="640"/>
      <c r="F962" s="1"/>
      <c r="G962" s="1"/>
      <c r="H962" s="640"/>
      <c r="I962" s="107"/>
    </row>
    <row r="963" spans="1:9" ht="20.25" customHeight="1">
      <c r="A963" s="1"/>
      <c r="B963" s="1"/>
      <c r="C963" s="1"/>
      <c r="D963" s="640"/>
      <c r="E963" s="640"/>
      <c r="F963" s="1"/>
      <c r="G963" s="1"/>
      <c r="H963" s="640"/>
      <c r="I963" s="107"/>
    </row>
    <row r="964" spans="1:9" ht="20.25" customHeight="1">
      <c r="A964" s="1"/>
      <c r="B964" s="1"/>
      <c r="C964" s="1"/>
      <c r="D964" s="640"/>
      <c r="E964" s="640"/>
      <c r="F964" s="1"/>
      <c r="G964" s="1"/>
      <c r="H964" s="640"/>
      <c r="I964" s="107"/>
    </row>
    <row r="965" spans="1:9" ht="20.25" customHeight="1">
      <c r="A965" s="1"/>
      <c r="B965" s="1"/>
      <c r="C965" s="1"/>
      <c r="D965" s="640"/>
      <c r="E965" s="640"/>
      <c r="F965" s="1"/>
      <c r="G965" s="1"/>
      <c r="H965" s="640"/>
      <c r="I965" s="107"/>
    </row>
    <row r="966" spans="1:9" ht="20.25" customHeight="1">
      <c r="A966" s="1"/>
      <c r="B966" s="1"/>
      <c r="C966" s="1"/>
      <c r="D966" s="640"/>
      <c r="E966" s="640"/>
      <c r="F966" s="1"/>
      <c r="G966" s="1"/>
      <c r="H966" s="640"/>
      <c r="I966" s="107"/>
    </row>
    <row r="967" spans="1:9" ht="20.25" customHeight="1">
      <c r="A967" s="1"/>
      <c r="B967" s="1"/>
      <c r="C967" s="1"/>
      <c r="D967" s="640"/>
      <c r="E967" s="640"/>
      <c r="F967" s="1"/>
      <c r="G967" s="1"/>
      <c r="H967" s="640"/>
      <c r="I967" s="107"/>
    </row>
    <row r="968" spans="1:9" ht="20.25" customHeight="1">
      <c r="A968" s="1"/>
      <c r="B968" s="1"/>
      <c r="C968" s="1"/>
      <c r="D968" s="640"/>
      <c r="E968" s="640"/>
      <c r="F968" s="1"/>
      <c r="G968" s="1"/>
      <c r="H968" s="640"/>
      <c r="I968" s="107"/>
    </row>
    <row r="969" spans="1:9" ht="20.25" customHeight="1">
      <c r="A969" s="1"/>
      <c r="B969" s="1"/>
      <c r="C969" s="1"/>
      <c r="D969" s="640"/>
      <c r="E969" s="640"/>
      <c r="F969" s="1"/>
      <c r="G969" s="1"/>
      <c r="H969" s="640"/>
      <c r="I969" s="107"/>
    </row>
    <row r="970" spans="1:9" ht="20.25" customHeight="1">
      <c r="A970" s="1"/>
      <c r="B970" s="1"/>
      <c r="C970" s="1"/>
      <c r="D970" s="640"/>
      <c r="E970" s="640"/>
      <c r="F970" s="1"/>
      <c r="G970" s="1"/>
      <c r="H970" s="640"/>
      <c r="I970" s="107"/>
    </row>
    <row r="971" spans="1:9" ht="20.25" customHeight="1">
      <c r="A971" s="1"/>
      <c r="B971" s="1"/>
      <c r="C971" s="1"/>
      <c r="D971" s="640"/>
      <c r="E971" s="640"/>
      <c r="F971" s="1"/>
      <c r="G971" s="1"/>
      <c r="H971" s="640"/>
      <c r="I971" s="107"/>
    </row>
    <row r="972" spans="1:9" ht="20.25" customHeight="1">
      <c r="A972" s="1"/>
      <c r="B972" s="1"/>
      <c r="C972" s="1"/>
      <c r="D972" s="640"/>
      <c r="E972" s="640"/>
      <c r="F972" s="1"/>
      <c r="G972" s="1"/>
      <c r="H972" s="640"/>
      <c r="I972" s="107"/>
    </row>
    <row r="973" spans="1:9" ht="20.25" customHeight="1">
      <c r="A973" s="1"/>
      <c r="B973" s="1"/>
      <c r="C973" s="1"/>
      <c r="D973" s="640"/>
      <c r="E973" s="640"/>
      <c r="F973" s="1"/>
      <c r="G973" s="1"/>
      <c r="H973" s="640"/>
      <c r="I973" s="107"/>
    </row>
    <row r="974" spans="1:9" ht="20.25" customHeight="1">
      <c r="A974" s="1"/>
      <c r="B974" s="1"/>
      <c r="C974" s="1"/>
      <c r="D974" s="640"/>
      <c r="E974" s="640"/>
      <c r="F974" s="1"/>
      <c r="G974" s="1"/>
      <c r="H974" s="640"/>
      <c r="I974" s="107"/>
    </row>
    <row r="975" spans="1:9" ht="20.25" customHeight="1">
      <c r="A975" s="1"/>
      <c r="B975" s="1"/>
      <c r="C975" s="1"/>
      <c r="D975" s="640"/>
      <c r="E975" s="640"/>
      <c r="F975" s="1"/>
      <c r="G975" s="1"/>
      <c r="H975" s="640"/>
      <c r="I975" s="107"/>
    </row>
    <row r="976" spans="1:9" ht="20.25" customHeight="1">
      <c r="A976" s="1"/>
      <c r="B976" s="1"/>
      <c r="C976" s="1"/>
      <c r="D976" s="640"/>
      <c r="E976" s="640"/>
      <c r="F976" s="1"/>
      <c r="G976" s="1"/>
      <c r="H976" s="640"/>
      <c r="I976" s="107"/>
    </row>
    <row r="977" spans="1:9" ht="20.25" customHeight="1">
      <c r="A977" s="1"/>
      <c r="B977" s="1"/>
      <c r="C977" s="1"/>
      <c r="D977" s="640"/>
      <c r="E977" s="640"/>
      <c r="F977" s="1"/>
      <c r="G977" s="1"/>
      <c r="H977" s="640"/>
      <c r="I977" s="107"/>
    </row>
    <row r="978" spans="1:9" ht="20.25" customHeight="1">
      <c r="A978" s="1"/>
      <c r="B978" s="1"/>
      <c r="C978" s="1"/>
      <c r="D978" s="640"/>
      <c r="E978" s="640"/>
      <c r="F978" s="1"/>
      <c r="G978" s="1"/>
      <c r="H978" s="640"/>
      <c r="I978" s="107"/>
    </row>
    <row r="979" spans="1:9" ht="20.25" customHeight="1">
      <c r="A979" s="1"/>
      <c r="B979" s="1"/>
      <c r="C979" s="1"/>
      <c r="D979" s="640"/>
      <c r="E979" s="640"/>
      <c r="F979" s="1"/>
      <c r="G979" s="1"/>
      <c r="H979" s="640"/>
      <c r="I979" s="107"/>
    </row>
    <row r="980" spans="1:9" ht="20.25" customHeight="1">
      <c r="A980" s="1"/>
      <c r="B980" s="1"/>
      <c r="C980" s="1"/>
      <c r="D980" s="640"/>
      <c r="E980" s="640"/>
      <c r="F980" s="1"/>
      <c r="G980" s="1"/>
      <c r="H980" s="640"/>
      <c r="I980" s="107"/>
    </row>
    <row r="981" spans="1:9" ht="20.25" customHeight="1">
      <c r="A981" s="1"/>
      <c r="B981" s="1"/>
      <c r="C981" s="1"/>
      <c r="D981" s="640"/>
      <c r="E981" s="640"/>
      <c r="F981" s="1"/>
      <c r="G981" s="1"/>
      <c r="H981" s="640"/>
      <c r="I981" s="107"/>
    </row>
    <row r="982" spans="1:9" ht="20.25" customHeight="1">
      <c r="A982" s="1"/>
      <c r="B982" s="1"/>
      <c r="C982" s="1"/>
      <c r="D982" s="640"/>
      <c r="E982" s="640"/>
      <c r="F982" s="1"/>
      <c r="G982" s="1"/>
      <c r="H982" s="640"/>
      <c r="I982" s="107"/>
    </row>
    <row r="983" spans="1:9" ht="20.25" customHeight="1">
      <c r="A983" s="1"/>
      <c r="B983" s="1"/>
      <c r="C983" s="1"/>
      <c r="D983" s="640"/>
      <c r="E983" s="640"/>
      <c r="F983" s="1"/>
      <c r="G983" s="1"/>
      <c r="H983" s="640"/>
      <c r="I983" s="107"/>
    </row>
    <row r="984" spans="1:9" ht="20.25" customHeight="1">
      <c r="A984" s="1"/>
      <c r="B984" s="1"/>
      <c r="C984" s="1"/>
      <c r="D984" s="640"/>
      <c r="E984" s="640"/>
      <c r="F984" s="1"/>
      <c r="G984" s="1"/>
      <c r="H984" s="640"/>
      <c r="I984" s="107"/>
    </row>
    <row r="985" spans="1:9" ht="20.25" customHeight="1">
      <c r="A985" s="1"/>
      <c r="B985" s="1"/>
      <c r="C985" s="1"/>
      <c r="D985" s="640"/>
      <c r="E985" s="640"/>
      <c r="F985" s="1"/>
      <c r="G985" s="1"/>
      <c r="H985" s="640"/>
      <c r="I985" s="107"/>
    </row>
    <row r="986" spans="1:9" ht="20.25" customHeight="1">
      <c r="A986" s="1"/>
      <c r="B986" s="1"/>
      <c r="C986" s="1"/>
      <c r="D986" s="640"/>
      <c r="E986" s="640"/>
      <c r="F986" s="1"/>
      <c r="G986" s="1"/>
      <c r="H986" s="640"/>
      <c r="I986" s="107"/>
    </row>
    <row r="987" spans="1:9" ht="20.25" customHeight="1">
      <c r="A987" s="1"/>
      <c r="B987" s="1"/>
      <c r="C987" s="1"/>
      <c r="D987" s="640"/>
      <c r="E987" s="640"/>
      <c r="F987" s="1"/>
      <c r="G987" s="1"/>
      <c r="H987" s="640"/>
      <c r="I987" s="107"/>
    </row>
    <row r="988" spans="1:9" ht="20.25" customHeight="1">
      <c r="A988" s="1"/>
      <c r="B988" s="1"/>
      <c r="C988" s="1"/>
      <c r="D988" s="640"/>
      <c r="E988" s="640"/>
      <c r="F988" s="1"/>
      <c r="G988" s="1"/>
      <c r="H988" s="640"/>
      <c r="I988" s="107"/>
    </row>
    <row r="989" spans="1:9" ht="20.25" customHeight="1">
      <c r="A989" s="1"/>
      <c r="B989" s="1"/>
      <c r="C989" s="1"/>
      <c r="D989" s="640"/>
      <c r="E989" s="640"/>
      <c r="F989" s="1"/>
      <c r="G989" s="1"/>
      <c r="H989" s="640"/>
      <c r="I989" s="107"/>
    </row>
    <row r="990" spans="1:9" ht="20.25" customHeight="1">
      <c r="A990" s="1"/>
      <c r="B990" s="1"/>
      <c r="C990" s="1"/>
      <c r="D990" s="640"/>
      <c r="E990" s="640"/>
      <c r="F990" s="1"/>
      <c r="G990" s="1"/>
      <c r="H990" s="640"/>
      <c r="I990" s="107"/>
    </row>
    <row r="991" spans="1:9" ht="20.25" customHeight="1">
      <c r="A991" s="1"/>
      <c r="B991" s="1"/>
      <c r="C991" s="1"/>
      <c r="D991" s="640"/>
      <c r="E991" s="640"/>
      <c r="F991" s="1"/>
      <c r="G991" s="1"/>
      <c r="H991" s="640"/>
      <c r="I991" s="107"/>
    </row>
    <row r="992" spans="1:9" ht="20.25" customHeight="1">
      <c r="A992" s="1"/>
      <c r="B992" s="1"/>
      <c r="C992" s="1"/>
      <c r="D992" s="640"/>
      <c r="E992" s="640"/>
      <c r="F992" s="1"/>
      <c r="G992" s="1"/>
      <c r="H992" s="640"/>
      <c r="I992" s="107"/>
    </row>
    <row r="993" spans="1:9" ht="20.25" customHeight="1">
      <c r="A993" s="1"/>
      <c r="B993" s="1"/>
      <c r="C993" s="1"/>
      <c r="D993" s="640"/>
      <c r="E993" s="640"/>
      <c r="F993" s="1"/>
      <c r="G993" s="1"/>
      <c r="H993" s="640"/>
      <c r="I993" s="107"/>
    </row>
    <row r="994" spans="1:9" ht="20.25" customHeight="1">
      <c r="A994" s="1"/>
      <c r="B994" s="1"/>
      <c r="C994" s="1"/>
      <c r="D994" s="640"/>
      <c r="E994" s="640"/>
      <c r="F994" s="1"/>
      <c r="G994" s="1"/>
      <c r="H994" s="640"/>
      <c r="I994" s="107"/>
    </row>
    <row r="995" spans="1:9" ht="20.25" customHeight="1">
      <c r="A995" s="1"/>
      <c r="B995" s="1"/>
      <c r="C995" s="1"/>
      <c r="D995" s="640"/>
      <c r="E995" s="640"/>
      <c r="F995" s="1"/>
      <c r="G995" s="1"/>
      <c r="H995" s="640"/>
      <c r="I995" s="107"/>
    </row>
    <row r="996" spans="1:9" ht="20.25" customHeight="1">
      <c r="A996" s="1"/>
      <c r="B996" s="1"/>
      <c r="C996" s="1"/>
      <c r="D996" s="640"/>
      <c r="E996" s="640"/>
      <c r="F996" s="1"/>
      <c r="G996" s="1"/>
      <c r="H996" s="640"/>
      <c r="I996" s="107"/>
    </row>
    <row r="997" spans="1:9" ht="20.25" customHeight="1">
      <c r="A997" s="1"/>
      <c r="B997" s="1"/>
      <c r="C997" s="1"/>
      <c r="D997" s="640"/>
      <c r="E997" s="640"/>
      <c r="F997" s="1"/>
      <c r="G997" s="1"/>
      <c r="H997" s="640"/>
      <c r="I997" s="107"/>
    </row>
    <row r="998" spans="1:9" ht="20.25" customHeight="1">
      <c r="A998" s="1"/>
      <c r="B998" s="1"/>
      <c r="C998" s="1"/>
      <c r="D998" s="640"/>
      <c r="E998" s="640"/>
      <c r="F998" s="1"/>
      <c r="G998" s="1"/>
      <c r="H998" s="640"/>
      <c r="I998" s="107"/>
    </row>
    <row r="999" spans="1:9" ht="20.25" customHeight="1">
      <c r="A999" s="1"/>
      <c r="B999" s="1"/>
      <c r="C999" s="1"/>
      <c r="D999" s="640"/>
      <c r="E999" s="640"/>
      <c r="F999" s="1"/>
      <c r="G999" s="1"/>
      <c r="H999" s="640"/>
      <c r="I999" s="107"/>
    </row>
    <row r="1000" spans="1:9" ht="20.25" customHeight="1">
      <c r="A1000" s="1"/>
      <c r="B1000" s="1"/>
      <c r="C1000" s="1"/>
      <c r="D1000" s="640"/>
      <c r="E1000" s="640"/>
      <c r="F1000" s="1"/>
      <c r="G1000" s="1"/>
      <c r="H1000" s="640"/>
      <c r="I1000" s="107"/>
    </row>
    <row r="1001" spans="1:9" ht="20.25" customHeight="1">
      <c r="A1001" s="1"/>
      <c r="B1001" s="1"/>
      <c r="C1001" s="1"/>
      <c r="D1001" s="640"/>
      <c r="E1001" s="640"/>
      <c r="F1001" s="1"/>
      <c r="G1001" s="1"/>
      <c r="H1001" s="640"/>
      <c r="I1001" s="107"/>
    </row>
    <row r="1002" spans="1:9" ht="20.25" customHeight="1">
      <c r="A1002" s="1"/>
      <c r="B1002" s="1"/>
      <c r="C1002" s="1"/>
      <c r="D1002" s="640"/>
      <c r="E1002" s="640"/>
      <c r="F1002" s="1"/>
      <c r="G1002" s="1"/>
      <c r="H1002" s="640"/>
      <c r="I1002" s="107"/>
    </row>
    <row r="1003" spans="1:9" ht="20.25" customHeight="1">
      <c r="A1003" s="1"/>
      <c r="B1003" s="1"/>
      <c r="C1003" s="1"/>
      <c r="D1003" s="640"/>
      <c r="E1003" s="640"/>
      <c r="F1003" s="1"/>
      <c r="G1003" s="1"/>
      <c r="H1003" s="640"/>
      <c r="I1003" s="107"/>
    </row>
    <row r="1004" spans="1:9" ht="20.25" customHeight="1">
      <c r="A1004" s="1"/>
      <c r="B1004" s="1"/>
      <c r="C1004" s="1"/>
      <c r="D1004" s="640"/>
      <c r="E1004" s="640"/>
      <c r="F1004" s="1"/>
      <c r="G1004" s="1"/>
      <c r="H1004" s="640"/>
      <c r="I1004" s="107"/>
    </row>
    <row r="1005" spans="1:9" ht="20.25" customHeight="1">
      <c r="A1005" s="1"/>
      <c r="B1005" s="1"/>
      <c r="C1005" s="1"/>
      <c r="D1005" s="640"/>
      <c r="E1005" s="640"/>
      <c r="F1005" s="1"/>
      <c r="G1005" s="1"/>
      <c r="H1005" s="640"/>
      <c r="I1005" s="107"/>
    </row>
    <row r="1006" spans="1:9" ht="20.25" customHeight="1">
      <c r="A1006" s="1"/>
      <c r="B1006" s="1"/>
      <c r="C1006" s="1"/>
      <c r="D1006" s="640"/>
      <c r="E1006" s="640"/>
      <c r="F1006" s="1"/>
      <c r="G1006" s="1"/>
      <c r="H1006" s="640"/>
      <c r="I1006" s="107"/>
    </row>
    <row r="1007" spans="1:9" ht="20.25" customHeight="1">
      <c r="A1007" s="1"/>
      <c r="B1007" s="1"/>
      <c r="C1007" s="1"/>
      <c r="D1007" s="640"/>
      <c r="E1007" s="640"/>
      <c r="F1007" s="1"/>
      <c r="G1007" s="1"/>
      <c r="H1007" s="640"/>
      <c r="I1007" s="107"/>
    </row>
    <row r="1008" spans="1:9" ht="20.25" customHeight="1">
      <c r="A1008" s="1"/>
      <c r="B1008" s="1"/>
      <c r="C1008" s="1"/>
      <c r="D1008" s="640"/>
      <c r="E1008" s="640"/>
      <c r="F1008" s="1"/>
      <c r="G1008" s="1"/>
      <c r="H1008" s="640"/>
      <c r="I1008" s="107"/>
    </row>
    <row r="1009" spans="1:9" ht="20.25" customHeight="1">
      <c r="A1009" s="1"/>
      <c r="B1009" s="1"/>
      <c r="C1009" s="1"/>
      <c r="D1009" s="640"/>
      <c r="E1009" s="640"/>
      <c r="F1009" s="1"/>
      <c r="G1009" s="1"/>
      <c r="H1009" s="640"/>
      <c r="I1009" s="107"/>
    </row>
    <row r="1010" spans="1:9" ht="20.25" customHeight="1">
      <c r="A1010" s="1"/>
      <c r="B1010" s="1"/>
      <c r="C1010" s="1"/>
      <c r="D1010" s="640"/>
      <c r="E1010" s="640"/>
      <c r="F1010" s="1"/>
      <c r="G1010" s="1"/>
      <c r="H1010" s="640"/>
      <c r="I1010" s="107"/>
    </row>
    <row r="1011" spans="1:9" ht="20.25" customHeight="1">
      <c r="A1011" s="1"/>
      <c r="B1011" s="1"/>
      <c r="C1011" s="1"/>
      <c r="D1011" s="640"/>
      <c r="E1011" s="640"/>
      <c r="F1011" s="1"/>
      <c r="G1011" s="1"/>
      <c r="H1011" s="640"/>
      <c r="I1011" s="107"/>
    </row>
    <row r="1012" spans="1:9" ht="20.25" customHeight="1">
      <c r="A1012" s="1"/>
      <c r="B1012" s="1"/>
      <c r="C1012" s="1"/>
      <c r="D1012" s="640"/>
      <c r="E1012" s="640"/>
      <c r="F1012" s="1"/>
      <c r="G1012" s="1"/>
      <c r="H1012" s="640"/>
      <c r="I1012" s="107"/>
    </row>
    <row r="1013" spans="1:9" ht="20.25" customHeight="1">
      <c r="A1013" s="1"/>
      <c r="B1013" s="1"/>
      <c r="C1013" s="1"/>
      <c r="D1013" s="640"/>
      <c r="E1013" s="640"/>
      <c r="F1013" s="1"/>
      <c r="G1013" s="1"/>
      <c r="H1013" s="640"/>
      <c r="I1013" s="107"/>
    </row>
    <row r="1014" spans="1:9" ht="20.25" customHeight="1">
      <c r="A1014" s="1"/>
      <c r="B1014" s="1"/>
      <c r="C1014" s="1"/>
      <c r="D1014" s="640"/>
      <c r="E1014" s="640"/>
      <c r="F1014" s="1"/>
      <c r="G1014" s="1"/>
      <c r="H1014" s="640"/>
      <c r="I1014" s="107"/>
    </row>
    <row r="1015" spans="1:9" ht="20.25" customHeight="1">
      <c r="A1015" s="1"/>
      <c r="B1015" s="1"/>
      <c r="C1015" s="1"/>
      <c r="D1015" s="640"/>
      <c r="E1015" s="640"/>
      <c r="F1015" s="1"/>
      <c r="G1015" s="1"/>
      <c r="H1015" s="640"/>
      <c r="I1015" s="107"/>
    </row>
    <row r="1016" spans="1:9" ht="20.25" customHeight="1">
      <c r="A1016" s="1"/>
      <c r="B1016" s="1"/>
      <c r="C1016" s="1"/>
      <c r="D1016" s="640"/>
      <c r="E1016" s="640"/>
      <c r="F1016" s="1"/>
      <c r="G1016" s="1"/>
      <c r="H1016" s="640"/>
      <c r="I1016" s="107"/>
    </row>
    <row r="1017" spans="1:9" ht="20.25" customHeight="1">
      <c r="A1017" s="1"/>
      <c r="B1017" s="1"/>
      <c r="C1017" s="1"/>
      <c r="D1017" s="640"/>
      <c r="E1017" s="640"/>
      <c r="F1017" s="1"/>
      <c r="G1017" s="1"/>
      <c r="H1017" s="640"/>
      <c r="I1017" s="107"/>
    </row>
    <row r="1018" spans="1:9" ht="20.25" customHeight="1">
      <c r="A1018" s="1"/>
      <c r="B1018" s="1"/>
      <c r="C1018" s="1"/>
      <c r="D1018" s="640"/>
      <c r="E1018" s="640"/>
      <c r="F1018" s="1"/>
      <c r="G1018" s="1"/>
      <c r="H1018" s="640"/>
      <c r="I1018" s="107"/>
    </row>
    <row r="1019" spans="1:9" ht="20.25" customHeight="1">
      <c r="A1019" s="1"/>
      <c r="B1019" s="1"/>
      <c r="C1019" s="1"/>
      <c r="D1019" s="640"/>
      <c r="E1019" s="640"/>
      <c r="F1019" s="1"/>
      <c r="G1019" s="1"/>
      <c r="H1019" s="640"/>
      <c r="I1019" s="107"/>
    </row>
    <row r="1020" spans="1:9" ht="20.25" customHeight="1">
      <c r="A1020" s="1"/>
      <c r="B1020" s="1"/>
      <c r="C1020" s="1"/>
      <c r="D1020" s="640"/>
      <c r="E1020" s="640"/>
      <c r="F1020" s="1"/>
      <c r="G1020" s="1"/>
      <c r="H1020" s="640"/>
      <c r="I1020" s="107"/>
    </row>
    <row r="1021" spans="1:9" ht="20.25" customHeight="1">
      <c r="A1021" s="1"/>
      <c r="B1021" s="1"/>
      <c r="C1021" s="1"/>
      <c r="D1021" s="640"/>
      <c r="E1021" s="640"/>
      <c r="F1021" s="1"/>
      <c r="G1021" s="1"/>
      <c r="H1021" s="640"/>
      <c r="I1021" s="107"/>
    </row>
    <row r="1022" spans="1:9" ht="20.25" customHeight="1">
      <c r="A1022" s="1"/>
      <c r="B1022" s="1"/>
      <c r="C1022" s="1"/>
      <c r="D1022" s="640"/>
      <c r="E1022" s="640"/>
      <c r="F1022" s="1"/>
      <c r="G1022" s="1"/>
      <c r="H1022" s="640"/>
      <c r="I1022" s="107"/>
    </row>
    <row r="1023" spans="1:9" ht="20.25" customHeight="1">
      <c r="A1023" s="1"/>
      <c r="B1023" s="1"/>
      <c r="C1023" s="1"/>
      <c r="D1023" s="640"/>
      <c r="E1023" s="640"/>
      <c r="F1023" s="1"/>
      <c r="G1023" s="1"/>
      <c r="H1023" s="640"/>
      <c r="I1023" s="107"/>
    </row>
    <row r="1024" spans="1:9" ht="20.25" customHeight="1">
      <c r="A1024" s="1"/>
      <c r="B1024" s="1"/>
      <c r="C1024" s="1"/>
      <c r="D1024" s="640"/>
      <c r="E1024" s="640"/>
      <c r="F1024" s="1"/>
      <c r="G1024" s="1"/>
      <c r="H1024" s="640"/>
      <c r="I1024" s="107"/>
    </row>
    <row r="1025" spans="1:9" ht="20.25" customHeight="1">
      <c r="A1025" s="1"/>
      <c r="B1025" s="1"/>
      <c r="C1025" s="1"/>
      <c r="D1025" s="640"/>
      <c r="E1025" s="640"/>
      <c r="F1025" s="1"/>
      <c r="G1025" s="1"/>
      <c r="H1025" s="640"/>
      <c r="I1025" s="107"/>
    </row>
    <row r="1026" spans="1:9" ht="20.25" customHeight="1">
      <c r="A1026" s="1"/>
      <c r="B1026" s="1"/>
      <c r="C1026" s="1"/>
      <c r="D1026" s="640"/>
      <c r="E1026" s="640"/>
      <c r="F1026" s="1"/>
      <c r="G1026" s="1"/>
      <c r="H1026" s="640"/>
      <c r="I1026" s="107"/>
    </row>
    <row r="1027" spans="1:9" ht="20.25" customHeight="1">
      <c r="A1027" s="1"/>
      <c r="B1027" s="1"/>
      <c r="C1027" s="1"/>
      <c r="D1027" s="640"/>
      <c r="E1027" s="640"/>
      <c r="F1027" s="1"/>
      <c r="G1027" s="1"/>
      <c r="H1027" s="640"/>
      <c r="I1027" s="107"/>
    </row>
    <row r="1028" spans="1:9" ht="20.25" customHeight="1">
      <c r="A1028" s="1"/>
      <c r="B1028" s="1"/>
      <c r="C1028" s="1"/>
      <c r="D1028" s="640"/>
      <c r="E1028" s="640"/>
      <c r="F1028" s="1"/>
      <c r="G1028" s="1"/>
      <c r="H1028" s="640"/>
      <c r="I1028" s="107"/>
    </row>
    <row r="1029" spans="1:9" ht="20.25" customHeight="1">
      <c r="A1029" s="1"/>
      <c r="B1029" s="1"/>
      <c r="C1029" s="1"/>
      <c r="D1029" s="640"/>
      <c r="E1029" s="640"/>
      <c r="F1029" s="1"/>
      <c r="G1029" s="1"/>
      <c r="H1029" s="640"/>
      <c r="I1029" s="107"/>
    </row>
    <row r="1030" spans="1:9" ht="20.25" customHeight="1">
      <c r="A1030" s="1"/>
      <c r="B1030" s="1"/>
      <c r="C1030" s="1"/>
      <c r="D1030" s="640"/>
      <c r="E1030" s="640"/>
      <c r="F1030" s="1"/>
      <c r="G1030" s="1"/>
      <c r="H1030" s="640"/>
      <c r="I1030" s="107"/>
    </row>
    <row r="1031" spans="1:9" ht="20.25" customHeight="1">
      <c r="A1031" s="1"/>
      <c r="B1031" s="1"/>
      <c r="C1031" s="1"/>
      <c r="D1031" s="640"/>
      <c r="E1031" s="640"/>
      <c r="F1031" s="1"/>
      <c r="G1031" s="1"/>
      <c r="H1031" s="640"/>
      <c r="I1031" s="107"/>
    </row>
    <row r="1032" spans="1:9" ht="20.25" customHeight="1">
      <c r="A1032" s="1"/>
      <c r="B1032" s="1"/>
      <c r="C1032" s="1"/>
      <c r="D1032" s="640"/>
      <c r="E1032" s="640"/>
      <c r="F1032" s="1"/>
      <c r="G1032" s="1"/>
      <c r="H1032" s="640"/>
      <c r="I1032" s="107"/>
    </row>
    <row r="1033" spans="1:9" ht="20.25" customHeight="1">
      <c r="A1033" s="1"/>
      <c r="B1033" s="1"/>
      <c r="C1033" s="1"/>
      <c r="D1033" s="640"/>
      <c r="E1033" s="640"/>
      <c r="F1033" s="1"/>
      <c r="G1033" s="1"/>
      <c r="H1033" s="640"/>
      <c r="I1033" s="107"/>
    </row>
    <row r="1034" spans="1:9" ht="20.25" customHeight="1">
      <c r="A1034" s="1"/>
      <c r="B1034" s="1"/>
      <c r="C1034" s="1"/>
      <c r="D1034" s="640"/>
      <c r="E1034" s="640"/>
      <c r="F1034" s="1"/>
      <c r="G1034" s="1"/>
      <c r="H1034" s="640"/>
      <c r="I1034" s="107"/>
    </row>
    <row r="1035" spans="1:9" ht="20.25" customHeight="1">
      <c r="A1035" s="1"/>
      <c r="B1035" s="1"/>
      <c r="C1035" s="1"/>
      <c r="D1035" s="640"/>
      <c r="E1035" s="640"/>
      <c r="F1035" s="1"/>
      <c r="G1035" s="1"/>
      <c r="H1035" s="640"/>
      <c r="I1035" s="107"/>
    </row>
    <row r="1036" spans="1:9" ht="20.25" customHeight="1">
      <c r="A1036" s="1"/>
      <c r="B1036" s="1"/>
      <c r="C1036" s="1"/>
      <c r="D1036" s="640"/>
      <c r="E1036" s="640"/>
      <c r="F1036" s="1"/>
      <c r="G1036" s="1"/>
      <c r="H1036" s="640"/>
      <c r="I1036" s="107"/>
    </row>
    <row r="1037" spans="1:9" ht="20.25" customHeight="1">
      <c r="A1037" s="1"/>
      <c r="B1037" s="1"/>
      <c r="C1037" s="1"/>
      <c r="D1037" s="640"/>
      <c r="E1037" s="640"/>
      <c r="F1037" s="1"/>
      <c r="G1037" s="1"/>
      <c r="H1037" s="640"/>
      <c r="I1037" s="107"/>
    </row>
    <row r="1038" spans="1:9" ht="20.25" customHeight="1">
      <c r="A1038" s="1"/>
      <c r="B1038" s="1"/>
      <c r="C1038" s="1"/>
      <c r="D1038" s="640"/>
      <c r="E1038" s="640"/>
      <c r="F1038" s="1"/>
      <c r="G1038" s="1"/>
      <c r="H1038" s="640"/>
      <c r="I1038" s="107"/>
    </row>
    <row r="1039" spans="1:9" ht="20.25" customHeight="1">
      <c r="A1039" s="1"/>
      <c r="B1039" s="1"/>
      <c r="C1039" s="1"/>
      <c r="D1039" s="640"/>
      <c r="E1039" s="640"/>
      <c r="F1039" s="1"/>
      <c r="G1039" s="1"/>
      <c r="H1039" s="640"/>
      <c r="I1039" s="107"/>
    </row>
    <row r="1040" spans="1:9" ht="20.25" customHeight="1">
      <c r="A1040" s="1"/>
      <c r="B1040" s="1"/>
      <c r="C1040" s="1"/>
      <c r="D1040" s="640"/>
      <c r="E1040" s="640"/>
      <c r="F1040" s="1"/>
      <c r="G1040" s="1"/>
      <c r="H1040" s="640"/>
      <c r="I1040" s="107"/>
    </row>
    <row r="1041" spans="1:9" ht="20.25" customHeight="1">
      <c r="A1041" s="1"/>
      <c r="B1041" s="1"/>
      <c r="C1041" s="1"/>
      <c r="D1041" s="640"/>
      <c r="E1041" s="640"/>
      <c r="F1041" s="1"/>
      <c r="G1041" s="1"/>
      <c r="H1041" s="640"/>
      <c r="I1041" s="107"/>
    </row>
    <row r="1042" spans="1:9" ht="20.25" customHeight="1">
      <c r="A1042" s="1"/>
      <c r="B1042" s="1"/>
      <c r="C1042" s="1"/>
      <c r="D1042" s="640"/>
      <c r="E1042" s="640"/>
      <c r="F1042" s="1"/>
      <c r="G1042" s="1"/>
      <c r="H1042" s="640"/>
      <c r="I1042" s="107"/>
    </row>
    <row r="1043" spans="1:9" ht="20.25" customHeight="1">
      <c r="A1043" s="1"/>
      <c r="B1043" s="1"/>
      <c r="C1043" s="1"/>
      <c r="D1043" s="640"/>
      <c r="E1043" s="640"/>
      <c r="F1043" s="1"/>
      <c r="G1043" s="1"/>
      <c r="H1043" s="640"/>
      <c r="I1043" s="107"/>
    </row>
    <row r="1044" spans="1:9" ht="20.25" customHeight="1">
      <c r="A1044" s="1"/>
      <c r="B1044" s="1"/>
      <c r="C1044" s="1"/>
      <c r="D1044" s="640"/>
      <c r="E1044" s="640"/>
      <c r="F1044" s="1"/>
      <c r="G1044" s="1"/>
      <c r="H1044" s="640"/>
      <c r="I1044" s="107"/>
    </row>
    <row r="1045" spans="1:9" ht="20.25" customHeight="1">
      <c r="A1045" s="1"/>
      <c r="B1045" s="1"/>
      <c r="C1045" s="1"/>
      <c r="D1045" s="640"/>
      <c r="E1045" s="640"/>
      <c r="F1045" s="1"/>
      <c r="G1045" s="1"/>
      <c r="H1045" s="640"/>
      <c r="I1045" s="107"/>
    </row>
    <row r="1046" spans="1:9" ht="20.25" customHeight="1">
      <c r="A1046" s="1"/>
      <c r="B1046" s="1"/>
      <c r="C1046" s="1"/>
      <c r="D1046" s="640"/>
      <c r="E1046" s="640"/>
      <c r="F1046" s="1"/>
      <c r="G1046" s="1"/>
      <c r="H1046" s="640"/>
      <c r="I1046" s="107"/>
    </row>
    <row r="1047" spans="1:9" ht="20.25" customHeight="1">
      <c r="A1047" s="1"/>
      <c r="B1047" s="1"/>
      <c r="C1047" s="1"/>
      <c r="D1047" s="640"/>
      <c r="E1047" s="640"/>
      <c r="F1047" s="1"/>
      <c r="G1047" s="1"/>
      <c r="H1047" s="640"/>
      <c r="I1047" s="107"/>
    </row>
    <row r="1048" spans="1:9" ht="20.25" customHeight="1">
      <c r="A1048" s="1"/>
      <c r="B1048" s="1"/>
      <c r="C1048" s="1"/>
      <c r="D1048" s="640"/>
      <c r="E1048" s="640"/>
      <c r="F1048" s="1"/>
      <c r="G1048" s="1"/>
      <c r="H1048" s="640"/>
      <c r="I1048" s="107"/>
    </row>
    <row r="1049" spans="1:9" ht="20.25" customHeight="1">
      <c r="A1049" s="1"/>
      <c r="B1049" s="1"/>
      <c r="C1049" s="1"/>
      <c r="D1049" s="640"/>
      <c r="E1049" s="640"/>
      <c r="F1049" s="1"/>
      <c r="G1049" s="1"/>
      <c r="H1049" s="640"/>
      <c r="I1049" s="107"/>
    </row>
    <row r="1050" spans="1:9" ht="20.25" customHeight="1">
      <c r="A1050" s="1"/>
      <c r="B1050" s="1"/>
      <c r="C1050" s="1"/>
      <c r="D1050" s="640"/>
      <c r="E1050" s="640"/>
      <c r="F1050" s="1"/>
      <c r="G1050" s="1"/>
      <c r="H1050" s="640"/>
      <c r="I1050" s="107"/>
    </row>
    <row r="1051" spans="1:9" ht="20.25" customHeight="1">
      <c r="A1051" s="1"/>
      <c r="B1051" s="1"/>
      <c r="C1051" s="1"/>
      <c r="D1051" s="640"/>
      <c r="E1051" s="640"/>
      <c r="F1051" s="1"/>
      <c r="G1051" s="1"/>
      <c r="H1051" s="640"/>
      <c r="I1051" s="107"/>
    </row>
    <row r="1052" spans="1:9" ht="20.25" customHeight="1">
      <c r="A1052" s="1"/>
      <c r="B1052" s="1"/>
      <c r="C1052" s="1"/>
      <c r="D1052" s="640"/>
      <c r="E1052" s="640"/>
      <c r="F1052" s="1"/>
      <c r="G1052" s="1"/>
      <c r="H1052" s="640"/>
      <c r="I1052" s="107"/>
    </row>
    <row r="1053" spans="1:9" ht="20.25" customHeight="1">
      <c r="A1053" s="1"/>
      <c r="B1053" s="1"/>
      <c r="C1053" s="1"/>
      <c r="D1053" s="640"/>
      <c r="E1053" s="640"/>
      <c r="F1053" s="1"/>
      <c r="G1053" s="1"/>
      <c r="H1053" s="640"/>
      <c r="I1053" s="107"/>
    </row>
    <row r="1054" spans="1:9" ht="20.25" customHeight="1">
      <c r="A1054" s="1"/>
      <c r="B1054" s="1"/>
      <c r="C1054" s="1"/>
      <c r="D1054" s="640"/>
      <c r="E1054" s="640"/>
      <c r="F1054" s="1"/>
      <c r="G1054" s="1"/>
      <c r="H1054" s="640"/>
      <c r="I1054" s="107"/>
    </row>
    <row r="1055" spans="1:9" ht="20.25" customHeight="1">
      <c r="A1055" s="1"/>
      <c r="B1055" s="1"/>
      <c r="C1055" s="1"/>
      <c r="D1055" s="640"/>
      <c r="E1055" s="640"/>
      <c r="F1055" s="1"/>
      <c r="G1055" s="1"/>
      <c r="H1055" s="640"/>
      <c r="I1055" s="107"/>
    </row>
    <row r="1056" spans="1:9" ht="20.25" customHeight="1">
      <c r="A1056" s="1"/>
      <c r="B1056" s="1"/>
      <c r="C1056" s="1"/>
      <c r="D1056" s="640"/>
      <c r="E1056" s="640"/>
      <c r="F1056" s="1"/>
      <c r="G1056" s="1"/>
      <c r="H1056" s="640"/>
      <c r="I1056" s="107"/>
    </row>
    <row r="1057" spans="1:9" ht="20.25" customHeight="1">
      <c r="A1057" s="1"/>
      <c r="B1057" s="1"/>
      <c r="C1057" s="1"/>
      <c r="D1057" s="640"/>
      <c r="E1057" s="640"/>
      <c r="F1057" s="1"/>
      <c r="G1057" s="1"/>
      <c r="H1057" s="640"/>
      <c r="I1057" s="107"/>
    </row>
    <row r="1058" spans="1:9" ht="20.25" customHeight="1">
      <c r="A1058" s="1"/>
      <c r="B1058" s="1"/>
      <c r="C1058" s="1"/>
      <c r="D1058" s="640"/>
      <c r="E1058" s="640"/>
      <c r="F1058" s="1"/>
      <c r="G1058" s="1"/>
      <c r="H1058" s="640"/>
      <c r="I1058" s="107"/>
    </row>
    <row r="1059" spans="1:9" ht="20.25" customHeight="1">
      <c r="A1059" s="1"/>
      <c r="B1059" s="1"/>
      <c r="C1059" s="1"/>
      <c r="D1059" s="640"/>
      <c r="E1059" s="640"/>
      <c r="F1059" s="1"/>
      <c r="G1059" s="1"/>
      <c r="H1059" s="640"/>
      <c r="I1059" s="107"/>
    </row>
    <row r="1060" spans="1:9" ht="20.25" customHeight="1">
      <c r="A1060" s="1"/>
      <c r="B1060" s="1"/>
      <c r="C1060" s="1"/>
      <c r="D1060" s="640"/>
      <c r="E1060" s="640"/>
      <c r="F1060" s="1"/>
      <c r="G1060" s="1"/>
      <c r="H1060" s="640"/>
      <c r="I1060" s="107"/>
    </row>
    <row r="1061" spans="1:9" ht="20.25" customHeight="1">
      <c r="A1061" s="1"/>
      <c r="B1061" s="1"/>
      <c r="C1061" s="1"/>
      <c r="D1061" s="640"/>
      <c r="E1061" s="640"/>
      <c r="F1061" s="1"/>
      <c r="G1061" s="1"/>
      <c r="H1061" s="640"/>
      <c r="I1061" s="107"/>
    </row>
    <row r="1062" spans="1:9" ht="20.25" customHeight="1">
      <c r="A1062" s="1"/>
      <c r="B1062" s="1"/>
      <c r="C1062" s="1"/>
      <c r="D1062" s="640"/>
      <c r="E1062" s="640"/>
      <c r="F1062" s="1"/>
      <c r="G1062" s="1"/>
      <c r="H1062" s="640"/>
      <c r="I1062" s="107"/>
    </row>
    <row r="1063" spans="1:9" ht="20.25" customHeight="1">
      <c r="A1063" s="1"/>
      <c r="B1063" s="1"/>
      <c r="C1063" s="1"/>
      <c r="D1063" s="640"/>
      <c r="E1063" s="640"/>
      <c r="F1063" s="1"/>
      <c r="G1063" s="1"/>
      <c r="H1063" s="640"/>
      <c r="I1063" s="107"/>
    </row>
    <row r="1064" spans="1:9" ht="20.25" customHeight="1">
      <c r="A1064" s="1"/>
      <c r="B1064" s="1"/>
      <c r="C1064" s="1"/>
      <c r="D1064" s="640"/>
      <c r="E1064" s="640"/>
      <c r="F1064" s="1"/>
      <c r="G1064" s="1"/>
      <c r="H1064" s="640"/>
      <c r="I1064" s="107"/>
    </row>
    <row r="1065" spans="1:9" ht="20.25" customHeight="1">
      <c r="A1065" s="1"/>
      <c r="B1065" s="1"/>
      <c r="C1065" s="1"/>
      <c r="D1065" s="640"/>
      <c r="E1065" s="640"/>
      <c r="F1065" s="1"/>
      <c r="G1065" s="1"/>
      <c r="H1065" s="640"/>
      <c r="I1065" s="107"/>
    </row>
    <row r="1066" spans="1:9" ht="20.25" customHeight="1">
      <c r="A1066" s="1"/>
      <c r="B1066" s="1"/>
      <c r="C1066" s="1"/>
      <c r="D1066" s="640"/>
      <c r="E1066" s="640"/>
      <c r="F1066" s="1"/>
      <c r="G1066" s="1"/>
      <c r="H1066" s="640"/>
      <c r="I1066" s="107"/>
    </row>
    <row r="1067" spans="1:9" ht="20.25" customHeight="1">
      <c r="A1067" s="1"/>
      <c r="B1067" s="1"/>
      <c r="C1067" s="1"/>
      <c r="D1067" s="640"/>
      <c r="E1067" s="640"/>
      <c r="F1067" s="1"/>
      <c r="G1067" s="1"/>
      <c r="H1067" s="640"/>
      <c r="I1067" s="107"/>
    </row>
    <row r="1068" spans="1:9" ht="20.25" customHeight="1">
      <c r="A1068" s="1"/>
      <c r="B1068" s="1"/>
      <c r="C1068" s="1"/>
      <c r="D1068" s="640"/>
      <c r="E1068" s="640"/>
      <c r="F1068" s="1"/>
      <c r="G1068" s="1"/>
      <c r="H1068" s="640"/>
      <c r="I1068" s="107"/>
    </row>
    <row r="1069" spans="1:9" ht="20.25" customHeight="1">
      <c r="A1069" s="1"/>
      <c r="B1069" s="1"/>
      <c r="C1069" s="1"/>
      <c r="D1069" s="640"/>
      <c r="E1069" s="640"/>
      <c r="F1069" s="1"/>
      <c r="G1069" s="1"/>
      <c r="H1069" s="640"/>
      <c r="I1069" s="107"/>
    </row>
    <row r="1070" spans="1:9" ht="20.25" customHeight="1">
      <c r="A1070" s="1"/>
      <c r="B1070" s="1"/>
      <c r="C1070" s="1"/>
      <c r="D1070" s="640"/>
      <c r="E1070" s="640"/>
      <c r="F1070" s="1"/>
      <c r="G1070" s="1"/>
      <c r="H1070" s="640"/>
      <c r="I1070" s="107"/>
    </row>
    <row r="1071" spans="1:9" ht="20.25" customHeight="1">
      <c r="A1071" s="1"/>
      <c r="B1071" s="1"/>
      <c r="C1071" s="1"/>
      <c r="D1071" s="640"/>
      <c r="E1071" s="640"/>
      <c r="F1071" s="1"/>
      <c r="G1071" s="1"/>
      <c r="H1071" s="640"/>
      <c r="I1071" s="107"/>
    </row>
    <row r="1072" spans="1:9" ht="20.25" customHeight="1">
      <c r="A1072" s="1"/>
      <c r="B1072" s="1"/>
      <c r="C1072" s="1"/>
      <c r="D1072" s="640"/>
      <c r="E1072" s="640"/>
      <c r="F1072" s="1"/>
      <c r="G1072" s="1"/>
      <c r="H1072" s="640"/>
      <c r="I1072" s="107"/>
    </row>
    <row r="1073" spans="1:9" ht="20.25" customHeight="1">
      <c r="A1073" s="1"/>
      <c r="B1073" s="1"/>
      <c r="C1073" s="1"/>
      <c r="D1073" s="640"/>
      <c r="E1073" s="640"/>
      <c r="F1073" s="1"/>
      <c r="G1073" s="1"/>
      <c r="H1073" s="640"/>
      <c r="I1073" s="107"/>
    </row>
    <row r="1074" spans="1:9" ht="20.25" customHeight="1">
      <c r="A1074" s="1"/>
      <c r="B1074" s="1"/>
      <c r="C1074" s="1"/>
      <c r="D1074" s="640"/>
      <c r="E1074" s="640"/>
      <c r="F1074" s="1"/>
      <c r="G1074" s="1"/>
      <c r="H1074" s="640"/>
      <c r="I1074" s="107"/>
    </row>
    <row r="1075" spans="1:9" ht="20.25" customHeight="1">
      <c r="A1075" s="1"/>
      <c r="B1075" s="1"/>
      <c r="C1075" s="1"/>
      <c r="D1075" s="640"/>
      <c r="E1075" s="640"/>
      <c r="F1075" s="1"/>
      <c r="G1075" s="1"/>
      <c r="H1075" s="640"/>
      <c r="I1075" s="107"/>
    </row>
    <row r="1076" spans="1:9" ht="20.25" customHeight="1">
      <c r="A1076" s="1"/>
      <c r="B1076" s="1"/>
      <c r="C1076" s="1"/>
      <c r="D1076" s="640"/>
      <c r="E1076" s="640"/>
      <c r="F1076" s="1"/>
      <c r="G1076" s="1"/>
      <c r="H1076" s="640"/>
      <c r="I1076" s="107"/>
    </row>
    <row r="1077" spans="1:9" ht="20.25" customHeight="1">
      <c r="A1077" s="1"/>
      <c r="B1077" s="1"/>
      <c r="C1077" s="1"/>
      <c r="D1077" s="640"/>
      <c r="E1077" s="640"/>
      <c r="F1077" s="1"/>
      <c r="G1077" s="1"/>
      <c r="H1077" s="640"/>
      <c r="I1077" s="107"/>
    </row>
    <row r="1078" spans="1:9" ht="20.25" customHeight="1">
      <c r="A1078" s="1"/>
      <c r="B1078" s="1"/>
      <c r="C1078" s="1"/>
      <c r="D1078" s="640"/>
      <c r="E1078" s="640"/>
      <c r="F1078" s="1"/>
      <c r="G1078" s="1"/>
      <c r="H1078" s="640"/>
      <c r="I1078" s="107"/>
    </row>
    <row r="1079" spans="1:9" ht="20.25" customHeight="1">
      <c r="A1079" s="1"/>
      <c r="B1079" s="1"/>
      <c r="C1079" s="1"/>
      <c r="D1079" s="640"/>
      <c r="E1079" s="640"/>
      <c r="F1079" s="1"/>
      <c r="G1079" s="1"/>
      <c r="H1079" s="640"/>
      <c r="I1079" s="107"/>
    </row>
    <row r="1080" spans="1:9" ht="20.25" customHeight="1">
      <c r="A1080" s="1"/>
      <c r="B1080" s="1"/>
      <c r="C1080" s="1"/>
      <c r="D1080" s="640"/>
      <c r="E1080" s="640"/>
      <c r="F1080" s="1"/>
      <c r="G1080" s="1"/>
      <c r="H1080" s="640"/>
      <c r="I1080" s="107"/>
    </row>
    <row r="1081" spans="1:9" ht="20.25" customHeight="1">
      <c r="A1081" s="1"/>
      <c r="B1081" s="1"/>
      <c r="C1081" s="1"/>
      <c r="D1081" s="640"/>
      <c r="E1081" s="640"/>
      <c r="F1081" s="1"/>
      <c r="G1081" s="1"/>
      <c r="H1081" s="640"/>
      <c r="I1081" s="107"/>
    </row>
    <row r="1082" spans="1:9" ht="20.25" customHeight="1">
      <c r="A1082" s="1"/>
      <c r="B1082" s="1"/>
      <c r="C1082" s="1"/>
      <c r="D1082" s="640"/>
      <c r="E1082" s="640"/>
      <c r="F1082" s="1"/>
      <c r="G1082" s="1"/>
      <c r="H1082" s="640"/>
      <c r="I1082" s="107"/>
    </row>
    <row r="1083" spans="1:9" ht="20.25" customHeight="1">
      <c r="A1083" s="1"/>
      <c r="B1083" s="1"/>
      <c r="C1083" s="1"/>
      <c r="D1083" s="640"/>
      <c r="E1083" s="640"/>
      <c r="F1083" s="1"/>
      <c r="G1083" s="1"/>
      <c r="H1083" s="640"/>
      <c r="I1083" s="107"/>
    </row>
    <row r="1084" spans="1:9" ht="20.25" customHeight="1">
      <c r="A1084" s="1"/>
      <c r="B1084" s="1"/>
      <c r="C1084" s="1"/>
      <c r="D1084" s="640"/>
      <c r="E1084" s="640"/>
      <c r="F1084" s="1"/>
      <c r="G1084" s="1"/>
      <c r="H1084" s="640"/>
      <c r="I1084" s="107"/>
    </row>
    <row r="1085" spans="1:9" ht="20.25" customHeight="1">
      <c r="A1085" s="1"/>
      <c r="B1085" s="1"/>
      <c r="C1085" s="1"/>
      <c r="D1085" s="640"/>
      <c r="E1085" s="640"/>
      <c r="F1085" s="1"/>
      <c r="G1085" s="1"/>
      <c r="H1085" s="640"/>
      <c r="I1085" s="107"/>
    </row>
    <row r="1086" spans="1:9" ht="20.25" customHeight="1">
      <c r="A1086" s="1"/>
      <c r="B1086" s="1"/>
      <c r="C1086" s="1"/>
      <c r="D1086" s="640"/>
      <c r="E1086" s="640"/>
      <c r="F1086" s="1"/>
      <c r="G1086" s="1"/>
      <c r="H1086" s="640"/>
      <c r="I1086" s="107"/>
    </row>
    <row r="1087" spans="1:9" ht="20.25" customHeight="1">
      <c r="A1087" s="1"/>
      <c r="B1087" s="1"/>
      <c r="C1087" s="1"/>
      <c r="D1087" s="640"/>
      <c r="E1087" s="640"/>
      <c r="F1087" s="1"/>
      <c r="G1087" s="1"/>
      <c r="H1087" s="640"/>
      <c r="I1087" s="107"/>
    </row>
    <row r="1088" spans="1:9" ht="20.25" customHeight="1">
      <c r="A1088" s="1"/>
      <c r="B1088" s="1"/>
      <c r="C1088" s="1"/>
      <c r="D1088" s="640"/>
      <c r="E1088" s="640"/>
      <c r="F1088" s="1"/>
      <c r="G1088" s="1"/>
      <c r="H1088" s="640"/>
      <c r="I1088" s="107"/>
    </row>
    <row r="1089" spans="1:9" ht="20.25" customHeight="1">
      <c r="A1089" s="1"/>
      <c r="B1089" s="1"/>
      <c r="C1089" s="1"/>
      <c r="D1089" s="640"/>
      <c r="E1089" s="640"/>
      <c r="F1089" s="1"/>
      <c r="G1089" s="1"/>
      <c r="H1089" s="640"/>
      <c r="I1089" s="107"/>
    </row>
    <row r="1090" spans="1:9" ht="20.25" customHeight="1">
      <c r="A1090" s="1"/>
      <c r="B1090" s="1"/>
      <c r="C1090" s="1"/>
      <c r="D1090" s="640"/>
      <c r="E1090" s="640"/>
      <c r="F1090" s="1"/>
      <c r="G1090" s="1"/>
      <c r="H1090" s="640"/>
      <c r="I1090" s="107"/>
    </row>
    <row r="1091" spans="1:9" ht="20.25" customHeight="1">
      <c r="A1091" s="1"/>
      <c r="B1091" s="1"/>
      <c r="C1091" s="1"/>
      <c r="D1091" s="640"/>
      <c r="E1091" s="640"/>
      <c r="F1091" s="1"/>
      <c r="G1091" s="1"/>
      <c r="H1091" s="640"/>
      <c r="I1091" s="107"/>
    </row>
    <row r="1092" spans="1:9" ht="20.25" customHeight="1">
      <c r="A1092" s="1"/>
      <c r="B1092" s="1"/>
      <c r="C1092" s="1"/>
      <c r="D1092" s="640"/>
      <c r="E1092" s="640"/>
      <c r="F1092" s="1"/>
      <c r="G1092" s="1"/>
      <c r="H1092" s="640"/>
      <c r="I1092" s="107"/>
    </row>
    <row r="1093" spans="1:9" ht="20.25" customHeight="1">
      <c r="A1093" s="1"/>
      <c r="B1093" s="1"/>
      <c r="C1093" s="1"/>
      <c r="D1093" s="640"/>
      <c r="E1093" s="640"/>
      <c r="F1093" s="1"/>
      <c r="G1093" s="1"/>
      <c r="H1093" s="640"/>
      <c r="I1093" s="107"/>
    </row>
    <row r="1094" spans="1:9" ht="20.25" customHeight="1">
      <c r="A1094" s="1"/>
      <c r="B1094" s="1"/>
      <c r="C1094" s="1"/>
      <c r="D1094" s="640"/>
      <c r="E1094" s="640"/>
      <c r="F1094" s="1"/>
      <c r="G1094" s="1"/>
      <c r="H1094" s="640"/>
      <c r="I1094" s="107"/>
    </row>
    <row r="1095" spans="1:9" ht="20.25" customHeight="1">
      <c r="A1095" s="1"/>
      <c r="B1095" s="1"/>
      <c r="C1095" s="1"/>
      <c r="D1095" s="640"/>
      <c r="E1095" s="640"/>
      <c r="F1095" s="1"/>
      <c r="G1095" s="1"/>
      <c r="H1095" s="640"/>
      <c r="I1095" s="107"/>
    </row>
    <row r="1096" spans="1:9" ht="20.25" customHeight="1">
      <c r="A1096" s="1"/>
      <c r="B1096" s="1"/>
      <c r="C1096" s="1"/>
      <c r="D1096" s="640"/>
      <c r="E1096" s="640"/>
      <c r="F1096" s="1"/>
      <c r="G1096" s="1"/>
      <c r="H1096" s="640"/>
      <c r="I1096" s="107"/>
    </row>
    <row r="1097" spans="1:9" ht="20.25" customHeight="1">
      <c r="A1097" s="1"/>
      <c r="B1097" s="1"/>
      <c r="C1097" s="1"/>
      <c r="D1097" s="640"/>
      <c r="E1097" s="640"/>
      <c r="F1097" s="1"/>
      <c r="G1097" s="1"/>
      <c r="H1097" s="640"/>
      <c r="I1097" s="107"/>
    </row>
    <row r="1098" spans="1:9" ht="20.25" customHeight="1">
      <c r="A1098" s="1"/>
      <c r="B1098" s="1"/>
      <c r="C1098" s="1"/>
      <c r="D1098" s="640"/>
      <c r="E1098" s="640"/>
      <c r="F1098" s="1"/>
      <c r="G1098" s="1"/>
      <c r="H1098" s="640"/>
      <c r="I1098" s="107"/>
    </row>
    <row r="1099" spans="1:9" ht="20.25" customHeight="1">
      <c r="A1099" s="1"/>
      <c r="B1099" s="1"/>
      <c r="C1099" s="1"/>
      <c r="D1099" s="640"/>
      <c r="E1099" s="640"/>
      <c r="F1099" s="1"/>
      <c r="G1099" s="1"/>
      <c r="H1099" s="640"/>
      <c r="I1099" s="107"/>
    </row>
    <row r="1100" spans="1:9" ht="20.25" customHeight="1">
      <c r="A1100" s="1"/>
      <c r="B1100" s="1"/>
      <c r="C1100" s="1"/>
      <c r="D1100" s="640"/>
      <c r="E1100" s="640"/>
      <c r="F1100" s="1"/>
      <c r="G1100" s="1"/>
      <c r="H1100" s="640"/>
      <c r="I1100" s="107"/>
    </row>
    <row r="1101" spans="1:9" ht="20.25" customHeight="1">
      <c r="A1101" s="1"/>
      <c r="B1101" s="1"/>
      <c r="C1101" s="1"/>
      <c r="D1101" s="640"/>
      <c r="E1101" s="640"/>
      <c r="F1101" s="1"/>
      <c r="G1101" s="1"/>
      <c r="H1101" s="640"/>
      <c r="I1101" s="107"/>
    </row>
    <row r="1102" spans="1:9" ht="20.25" customHeight="1">
      <c r="A1102" s="1"/>
      <c r="B1102" s="1"/>
      <c r="C1102" s="1"/>
      <c r="D1102" s="640"/>
      <c r="E1102" s="640"/>
      <c r="F1102" s="1"/>
      <c r="G1102" s="1"/>
      <c r="H1102" s="640"/>
      <c r="I1102" s="107"/>
    </row>
    <row r="1103" spans="1:9" ht="20.25" customHeight="1">
      <c r="A1103" s="1"/>
      <c r="B1103" s="1"/>
      <c r="C1103" s="1"/>
      <c r="D1103" s="640"/>
      <c r="E1103" s="640"/>
      <c r="F1103" s="1"/>
      <c r="G1103" s="1"/>
      <c r="H1103" s="640"/>
      <c r="I1103" s="107"/>
    </row>
    <row r="1104" spans="1:9" ht="20.25" customHeight="1">
      <c r="A1104" s="1"/>
      <c r="B1104" s="1"/>
      <c r="C1104" s="1"/>
      <c r="D1104" s="640"/>
      <c r="E1104" s="640"/>
      <c r="F1104" s="1"/>
      <c r="G1104" s="1"/>
      <c r="H1104" s="640"/>
      <c r="I1104" s="107"/>
    </row>
    <row r="1105" spans="1:9" ht="20.25" customHeight="1">
      <c r="A1105" s="1"/>
      <c r="B1105" s="1"/>
      <c r="C1105" s="1"/>
      <c r="D1105" s="640"/>
      <c r="E1105" s="640"/>
      <c r="F1105" s="1"/>
      <c r="G1105" s="1"/>
      <c r="H1105" s="640"/>
      <c r="I1105" s="107"/>
    </row>
    <row r="1106" spans="1:9" ht="20.25" customHeight="1">
      <c r="A1106" s="1"/>
      <c r="B1106" s="1"/>
      <c r="C1106" s="1"/>
      <c r="D1106" s="640"/>
      <c r="E1106" s="640"/>
      <c r="F1106" s="1"/>
      <c r="G1106" s="1"/>
      <c r="H1106" s="640"/>
      <c r="I1106" s="107"/>
    </row>
    <row r="1107" spans="1:9" ht="20.25" customHeight="1">
      <c r="A1107" s="1"/>
      <c r="B1107" s="1"/>
      <c r="C1107" s="1"/>
      <c r="D1107" s="640"/>
      <c r="E1107" s="640"/>
      <c r="F1107" s="1"/>
      <c r="G1107" s="1"/>
      <c r="H1107" s="640"/>
      <c r="I1107" s="107"/>
    </row>
    <row r="1108" spans="1:9" ht="20.25" customHeight="1">
      <c r="A1108" s="1"/>
      <c r="B1108" s="1"/>
      <c r="C1108" s="1"/>
      <c r="D1108" s="640"/>
      <c r="E1108" s="640"/>
      <c r="F1108" s="1"/>
      <c r="G1108" s="1"/>
      <c r="H1108" s="640"/>
      <c r="I1108" s="107"/>
    </row>
    <row r="1109" spans="1:9" ht="20.25" customHeight="1">
      <c r="A1109" s="1"/>
      <c r="B1109" s="1"/>
      <c r="C1109" s="1"/>
      <c r="D1109" s="640"/>
      <c r="E1109" s="640"/>
      <c r="F1109" s="1"/>
      <c r="G1109" s="1"/>
      <c r="H1109" s="640"/>
      <c r="I1109" s="107"/>
    </row>
    <row r="1110" spans="1:9" ht="20.25" customHeight="1">
      <c r="A1110" s="1"/>
      <c r="B1110" s="1"/>
      <c r="C1110" s="1"/>
      <c r="D1110" s="640"/>
      <c r="E1110" s="640"/>
      <c r="F1110" s="1"/>
      <c r="G1110" s="1"/>
      <c r="H1110" s="640"/>
      <c r="I1110" s="107"/>
    </row>
    <row r="1111" spans="1:9" ht="20.25" customHeight="1">
      <c r="A1111" s="1"/>
      <c r="B1111" s="1"/>
      <c r="C1111" s="1"/>
      <c r="D1111" s="640"/>
      <c r="E1111" s="640"/>
      <c r="F1111" s="1"/>
      <c r="G1111" s="1"/>
      <c r="H1111" s="640"/>
      <c r="I1111" s="107"/>
    </row>
    <row r="1112" spans="1:9" ht="20.25" customHeight="1">
      <c r="A1112" s="1"/>
      <c r="B1112" s="1"/>
      <c r="C1112" s="1"/>
      <c r="D1112" s="640"/>
      <c r="E1112" s="640"/>
      <c r="F1112" s="1"/>
      <c r="G1112" s="1"/>
      <c r="H1112" s="640"/>
      <c r="I1112" s="107"/>
    </row>
    <row r="1113" spans="1:9" ht="20.25" customHeight="1">
      <c r="A1113" s="1"/>
      <c r="B1113" s="1"/>
      <c r="C1113" s="1"/>
      <c r="D1113" s="640"/>
      <c r="E1113" s="640"/>
      <c r="F1113" s="1"/>
      <c r="G1113" s="1"/>
      <c r="H1113" s="640"/>
      <c r="I1113" s="107"/>
    </row>
    <row r="1114" spans="1:9" ht="20.25" customHeight="1">
      <c r="A1114" s="1"/>
      <c r="B1114" s="1"/>
      <c r="C1114" s="1"/>
      <c r="D1114" s="640"/>
      <c r="E1114" s="640"/>
      <c r="F1114" s="1"/>
      <c r="G1114" s="1"/>
      <c r="H1114" s="640"/>
      <c r="I1114" s="107"/>
    </row>
    <row r="1115" spans="1:9" ht="20.25" customHeight="1">
      <c r="A1115" s="1"/>
      <c r="B1115" s="1"/>
      <c r="C1115" s="1"/>
      <c r="D1115" s="640"/>
      <c r="E1115" s="640"/>
      <c r="F1115" s="1"/>
      <c r="G1115" s="1"/>
      <c r="H1115" s="640"/>
      <c r="I1115" s="107"/>
    </row>
    <row r="1116" spans="1:9" ht="20.25" customHeight="1">
      <c r="A1116" s="1"/>
      <c r="B1116" s="1"/>
      <c r="C1116" s="1"/>
      <c r="D1116" s="640"/>
      <c r="E1116" s="640"/>
      <c r="F1116" s="1"/>
      <c r="G1116" s="1"/>
      <c r="H1116" s="640"/>
      <c r="I1116" s="107"/>
    </row>
    <row r="1117" spans="1:9" ht="20.25" customHeight="1">
      <c r="A1117" s="1"/>
      <c r="B1117" s="1"/>
      <c r="C1117" s="1"/>
      <c r="D1117" s="640"/>
      <c r="E1117" s="640"/>
      <c r="F1117" s="1"/>
      <c r="G1117" s="1"/>
      <c r="H1117" s="640"/>
      <c r="I1117" s="107"/>
    </row>
    <row r="1118" spans="1:9" ht="20.25" customHeight="1">
      <c r="A1118" s="1"/>
      <c r="B1118" s="1"/>
      <c r="C1118" s="1"/>
      <c r="D1118" s="640"/>
      <c r="E1118" s="640"/>
      <c r="F1118" s="1"/>
      <c r="G1118" s="1"/>
      <c r="H1118" s="640"/>
      <c r="I1118" s="107"/>
    </row>
    <row r="1119" spans="1:9" ht="20.25" customHeight="1">
      <c r="A1119" s="1"/>
      <c r="B1119" s="1"/>
      <c r="C1119" s="1"/>
      <c r="D1119" s="640"/>
      <c r="E1119" s="640"/>
      <c r="F1119" s="1"/>
      <c r="G1119" s="1"/>
      <c r="H1119" s="640"/>
      <c r="I1119" s="107"/>
    </row>
    <row r="1120" spans="1:9" ht="20.25" customHeight="1">
      <c r="A1120" s="1"/>
      <c r="B1120" s="1"/>
      <c r="C1120" s="1"/>
      <c r="D1120" s="640"/>
      <c r="E1120" s="640"/>
      <c r="F1120" s="1"/>
      <c r="G1120" s="1"/>
      <c r="H1120" s="640"/>
      <c r="I1120" s="107"/>
    </row>
    <row r="1121" spans="1:9" ht="20.25" customHeight="1">
      <c r="A1121" s="1"/>
      <c r="B1121" s="1"/>
      <c r="C1121" s="1"/>
      <c r="D1121" s="640"/>
      <c r="E1121" s="640"/>
      <c r="F1121" s="1"/>
      <c r="G1121" s="1"/>
      <c r="H1121" s="640"/>
      <c r="I1121" s="107"/>
    </row>
    <row r="1122" spans="1:9" ht="20.25" customHeight="1">
      <c r="A1122" s="1"/>
      <c r="B1122" s="1"/>
      <c r="C1122" s="1"/>
      <c r="D1122" s="640"/>
      <c r="E1122" s="640"/>
      <c r="F1122" s="1"/>
      <c r="G1122" s="1"/>
      <c r="H1122" s="640"/>
      <c r="I1122" s="107"/>
    </row>
    <row r="1123" spans="1:9" ht="20.25" customHeight="1">
      <c r="A1123" s="1"/>
      <c r="B1123" s="1"/>
      <c r="C1123" s="1"/>
      <c r="D1123" s="640"/>
      <c r="E1123" s="640"/>
      <c r="F1123" s="1"/>
      <c r="G1123" s="1"/>
      <c r="H1123" s="640"/>
      <c r="I1123" s="107"/>
    </row>
    <row r="1124" spans="1:9" ht="20.25" customHeight="1">
      <c r="A1124" s="1"/>
      <c r="B1124" s="1"/>
      <c r="C1124" s="1"/>
      <c r="D1124" s="640"/>
      <c r="E1124" s="640"/>
      <c r="F1124" s="1"/>
      <c r="G1124" s="1"/>
      <c r="H1124" s="640"/>
      <c r="I1124" s="107"/>
    </row>
    <row r="1125" spans="1:9" ht="20.25" customHeight="1">
      <c r="A1125" s="1"/>
      <c r="B1125" s="1"/>
      <c r="C1125" s="1"/>
      <c r="D1125" s="640"/>
      <c r="E1125" s="640"/>
      <c r="F1125" s="1"/>
      <c r="G1125" s="1"/>
      <c r="H1125" s="640"/>
      <c r="I1125" s="107"/>
    </row>
    <row r="1126" spans="1:9" ht="20.25" customHeight="1">
      <c r="A1126" s="1"/>
      <c r="B1126" s="1"/>
      <c r="C1126" s="1"/>
      <c r="D1126" s="640"/>
      <c r="E1126" s="640"/>
      <c r="F1126" s="1"/>
      <c r="G1126" s="1"/>
      <c r="H1126" s="640"/>
      <c r="I1126" s="107"/>
    </row>
    <row r="1127" spans="1:9" ht="20.25" customHeight="1">
      <c r="A1127" s="1"/>
      <c r="B1127" s="1"/>
      <c r="C1127" s="1"/>
      <c r="D1127" s="640"/>
      <c r="E1127" s="640"/>
      <c r="F1127" s="1"/>
      <c r="G1127" s="1"/>
      <c r="H1127" s="640"/>
      <c r="I1127" s="107"/>
    </row>
    <row r="1128" spans="1:9" ht="20.25" customHeight="1">
      <c r="A1128" s="1"/>
      <c r="B1128" s="1"/>
      <c r="C1128" s="1"/>
      <c r="D1128" s="640"/>
      <c r="E1128" s="640"/>
      <c r="F1128" s="1"/>
      <c r="G1128" s="1"/>
      <c r="H1128" s="640"/>
      <c r="I1128" s="107"/>
    </row>
    <row r="1129" spans="1:9" ht="20.25" customHeight="1">
      <c r="A1129" s="1"/>
      <c r="B1129" s="1"/>
      <c r="C1129" s="1"/>
      <c r="D1129" s="640"/>
      <c r="E1129" s="640"/>
      <c r="F1129" s="1"/>
      <c r="G1129" s="1"/>
      <c r="H1129" s="640"/>
      <c r="I1129" s="107"/>
    </row>
    <row r="1130" spans="1:9" ht="20.25" customHeight="1">
      <c r="A1130" s="1"/>
      <c r="B1130" s="1"/>
      <c r="C1130" s="1"/>
      <c r="D1130" s="640"/>
      <c r="E1130" s="640"/>
      <c r="F1130" s="1"/>
      <c r="G1130" s="1"/>
      <c r="H1130" s="640"/>
      <c r="I1130" s="107"/>
    </row>
    <row r="1131" spans="1:9" ht="20.25" customHeight="1">
      <c r="A1131" s="1"/>
      <c r="B1131" s="1"/>
      <c r="C1131" s="1"/>
      <c r="D1131" s="640"/>
      <c r="E1131" s="640"/>
      <c r="F1131" s="1"/>
      <c r="G1131" s="1"/>
      <c r="H1131" s="640"/>
      <c r="I1131" s="107"/>
    </row>
    <row r="1132" spans="1:9" ht="20.25" customHeight="1">
      <c r="A1132" s="1"/>
      <c r="B1132" s="1"/>
      <c r="C1132" s="1"/>
      <c r="D1132" s="640"/>
      <c r="E1132" s="640"/>
      <c r="F1132" s="1"/>
      <c r="G1132" s="1"/>
      <c r="H1132" s="640"/>
      <c r="I1132" s="107"/>
    </row>
    <row r="1133" spans="1:9" ht="20.25" customHeight="1">
      <c r="A1133" s="1"/>
      <c r="B1133" s="1"/>
      <c r="C1133" s="1"/>
      <c r="D1133" s="640"/>
      <c r="E1133" s="640"/>
      <c r="F1133" s="1"/>
      <c r="G1133" s="1"/>
      <c r="H1133" s="640"/>
      <c r="I1133" s="107"/>
    </row>
    <row r="1134" spans="1:9" ht="20.25" customHeight="1">
      <c r="A1134" s="1"/>
      <c r="B1134" s="1"/>
      <c r="C1134" s="1"/>
      <c r="D1134" s="640"/>
      <c r="E1134" s="640"/>
      <c r="F1134" s="1"/>
      <c r="G1134" s="1"/>
      <c r="H1134" s="640"/>
      <c r="I1134" s="107"/>
    </row>
    <row r="1135" spans="1:9" ht="20.25" customHeight="1">
      <c r="A1135" s="1"/>
      <c r="B1135" s="1"/>
      <c r="C1135" s="1"/>
      <c r="D1135" s="640"/>
      <c r="E1135" s="640"/>
      <c r="F1135" s="1"/>
      <c r="G1135" s="1"/>
      <c r="H1135" s="640"/>
      <c r="I1135" s="107"/>
    </row>
    <row r="1136" spans="1:9" ht="20.25" customHeight="1">
      <c r="A1136" s="1"/>
      <c r="B1136" s="1"/>
      <c r="C1136" s="1"/>
      <c r="D1136" s="640"/>
      <c r="E1136" s="640"/>
      <c r="F1136" s="1"/>
      <c r="G1136" s="1"/>
      <c r="H1136" s="640"/>
      <c r="I1136" s="107"/>
    </row>
    <row r="1137" spans="1:9" ht="20.25" customHeight="1">
      <c r="A1137" s="1"/>
      <c r="B1137" s="1"/>
      <c r="C1137" s="1"/>
      <c r="D1137" s="640"/>
      <c r="E1137" s="640"/>
      <c r="F1137" s="1"/>
      <c r="G1137" s="1"/>
      <c r="H1137" s="640"/>
      <c r="I1137" s="107"/>
    </row>
    <row r="1138" spans="1:9" ht="20.25" customHeight="1">
      <c r="A1138" s="1"/>
      <c r="B1138" s="1"/>
      <c r="C1138" s="1"/>
      <c r="D1138" s="640"/>
      <c r="E1138" s="640"/>
      <c r="F1138" s="1"/>
      <c r="G1138" s="1"/>
      <c r="H1138" s="640"/>
      <c r="I1138" s="107"/>
    </row>
    <row r="1139" spans="1:9" ht="20.25" customHeight="1">
      <c r="A1139" s="1"/>
      <c r="B1139" s="1"/>
      <c r="C1139" s="1"/>
      <c r="D1139" s="640"/>
      <c r="E1139" s="640"/>
      <c r="F1139" s="1"/>
      <c r="G1139" s="1"/>
      <c r="H1139" s="640"/>
      <c r="I1139" s="107"/>
    </row>
    <row r="1140" spans="1:9" ht="20.25" customHeight="1">
      <c r="A1140" s="1"/>
      <c r="B1140" s="1"/>
      <c r="C1140" s="1"/>
      <c r="D1140" s="640"/>
      <c r="E1140" s="640"/>
      <c r="F1140" s="1"/>
      <c r="G1140" s="1"/>
      <c r="H1140" s="640"/>
      <c r="I1140" s="107"/>
    </row>
    <row r="1141" spans="1:9" ht="20.25" customHeight="1">
      <c r="A1141" s="1"/>
      <c r="B1141" s="1"/>
      <c r="C1141" s="1"/>
      <c r="D1141" s="640"/>
      <c r="E1141" s="640"/>
      <c r="F1141" s="1"/>
      <c r="G1141" s="1"/>
      <c r="H1141" s="640"/>
      <c r="I1141" s="107"/>
    </row>
    <row r="1142" spans="1:9" ht="20.25" customHeight="1">
      <c r="A1142" s="1"/>
      <c r="B1142" s="1"/>
      <c r="C1142" s="1"/>
      <c r="D1142" s="640"/>
      <c r="E1142" s="640"/>
      <c r="F1142" s="1"/>
      <c r="G1142" s="1"/>
      <c r="H1142" s="640"/>
      <c r="I1142" s="107"/>
    </row>
    <row r="1143" spans="1:9" ht="20.25" customHeight="1">
      <c r="A1143" s="1"/>
      <c r="B1143" s="1"/>
      <c r="C1143" s="1"/>
      <c r="D1143" s="640"/>
      <c r="E1143" s="640"/>
      <c r="F1143" s="1"/>
      <c r="G1143" s="1"/>
      <c r="H1143" s="640"/>
      <c r="I1143" s="107"/>
    </row>
    <row r="1144" spans="1:9" ht="20.25" customHeight="1">
      <c r="A1144" s="1"/>
      <c r="B1144" s="1"/>
      <c r="C1144" s="1"/>
      <c r="D1144" s="640"/>
      <c r="E1144" s="640"/>
      <c r="F1144" s="1"/>
      <c r="G1144" s="1"/>
      <c r="H1144" s="640"/>
      <c r="I1144" s="107"/>
    </row>
    <row r="1145" spans="1:9" ht="20.25" customHeight="1">
      <c r="A1145" s="1"/>
      <c r="B1145" s="1"/>
      <c r="C1145" s="1"/>
      <c r="D1145" s="640"/>
      <c r="E1145" s="640"/>
      <c r="F1145" s="1"/>
      <c r="G1145" s="1"/>
      <c r="H1145" s="640"/>
      <c r="I1145" s="107"/>
    </row>
    <row r="1146" spans="1:9" ht="20.25" customHeight="1">
      <c r="A1146" s="1"/>
      <c r="B1146" s="1"/>
      <c r="C1146" s="1"/>
      <c r="D1146" s="640"/>
      <c r="E1146" s="640"/>
      <c r="F1146" s="1"/>
      <c r="G1146" s="1"/>
      <c r="H1146" s="640"/>
      <c r="I1146" s="107"/>
    </row>
    <row r="1147" spans="1:9" ht="20.25" customHeight="1">
      <c r="A1147" s="1"/>
      <c r="B1147" s="1"/>
      <c r="C1147" s="1"/>
      <c r="D1147" s="640"/>
      <c r="E1147" s="640"/>
      <c r="F1147" s="1"/>
      <c r="G1147" s="1"/>
      <c r="H1147" s="640"/>
      <c r="I1147" s="107"/>
    </row>
    <row r="1148" spans="1:9" ht="20.25" customHeight="1">
      <c r="A1148" s="1"/>
      <c r="B1148" s="1"/>
      <c r="C1148" s="1"/>
      <c r="D1148" s="640"/>
      <c r="E1148" s="640"/>
      <c r="F1148" s="1"/>
      <c r="G1148" s="1"/>
      <c r="H1148" s="640"/>
      <c r="I1148" s="107"/>
    </row>
    <row r="1149" spans="1:9" ht="20.25" customHeight="1">
      <c r="A1149" s="1"/>
      <c r="B1149" s="1"/>
      <c r="C1149" s="1"/>
      <c r="D1149" s="640"/>
      <c r="E1149" s="640"/>
      <c r="F1149" s="1"/>
      <c r="G1149" s="1"/>
      <c r="H1149" s="640"/>
      <c r="I1149" s="107"/>
    </row>
    <row r="1150" spans="1:9" ht="20.25" customHeight="1">
      <c r="A1150" s="1"/>
      <c r="B1150" s="1"/>
      <c r="C1150" s="1"/>
      <c r="D1150" s="640"/>
      <c r="E1150" s="640"/>
      <c r="F1150" s="1"/>
      <c r="G1150" s="1"/>
      <c r="H1150" s="640"/>
      <c r="I1150" s="107"/>
    </row>
    <row r="1151" spans="1:9" ht="20.25" customHeight="1">
      <c r="A1151" s="1"/>
      <c r="B1151" s="1"/>
      <c r="C1151" s="1"/>
      <c r="D1151" s="640"/>
      <c r="E1151" s="640"/>
      <c r="F1151" s="1"/>
      <c r="G1151" s="1"/>
      <c r="H1151" s="640"/>
      <c r="I1151" s="107"/>
    </row>
    <row r="1152" spans="1:9" ht="20.25" customHeight="1">
      <c r="A1152" s="1"/>
      <c r="B1152" s="1"/>
      <c r="C1152" s="1"/>
      <c r="D1152" s="640"/>
      <c r="E1152" s="640"/>
      <c r="F1152" s="1"/>
      <c r="G1152" s="1"/>
      <c r="H1152" s="640"/>
      <c r="I1152" s="107"/>
    </row>
    <row r="1153" spans="1:9" ht="20.25" customHeight="1">
      <c r="A1153" s="1"/>
      <c r="B1153" s="1"/>
      <c r="C1153" s="1"/>
      <c r="D1153" s="640"/>
      <c r="E1153" s="640"/>
      <c r="F1153" s="1"/>
      <c r="G1153" s="1"/>
      <c r="H1153" s="640"/>
      <c r="I1153" s="107"/>
    </row>
    <row r="1154" spans="1:9" ht="20.25" customHeight="1">
      <c r="A1154" s="1"/>
      <c r="B1154" s="1"/>
      <c r="C1154" s="1"/>
      <c r="D1154" s="640"/>
      <c r="E1154" s="640"/>
      <c r="F1154" s="1"/>
      <c r="G1154" s="1"/>
      <c r="H1154" s="640"/>
      <c r="I1154" s="107"/>
    </row>
    <row r="1155" spans="1:9" ht="20.25" customHeight="1">
      <c r="A1155" s="1"/>
      <c r="B1155" s="1"/>
      <c r="C1155" s="1"/>
      <c r="D1155" s="640"/>
      <c r="E1155" s="640"/>
      <c r="F1155" s="1"/>
      <c r="G1155" s="1"/>
      <c r="H1155" s="640"/>
      <c r="I1155" s="107"/>
    </row>
    <row r="1156" spans="1:9" ht="20.25" customHeight="1">
      <c r="A1156" s="1"/>
      <c r="B1156" s="1"/>
      <c r="C1156" s="1"/>
      <c r="D1156" s="640"/>
      <c r="E1156" s="640"/>
      <c r="F1156" s="1"/>
      <c r="G1156" s="1"/>
      <c r="H1156" s="640"/>
      <c r="I1156" s="107"/>
    </row>
    <row r="1157" spans="1:9" ht="20.25" customHeight="1">
      <c r="A1157" s="1"/>
      <c r="B1157" s="1"/>
      <c r="C1157" s="1"/>
      <c r="D1157" s="640"/>
      <c r="E1157" s="640"/>
      <c r="F1157" s="1"/>
      <c r="G1157" s="1"/>
      <c r="H1157" s="640"/>
      <c r="I1157" s="107"/>
    </row>
    <row r="1158" spans="1:9" ht="20.25" customHeight="1">
      <c r="A1158" s="1"/>
      <c r="B1158" s="1"/>
      <c r="C1158" s="1"/>
      <c r="D1158" s="640"/>
      <c r="E1158" s="640"/>
      <c r="F1158" s="1"/>
      <c r="G1158" s="1"/>
      <c r="H1158" s="640"/>
      <c r="I1158" s="107"/>
    </row>
    <row r="1159" spans="1:9" ht="20.25" customHeight="1">
      <c r="A1159" s="1"/>
      <c r="B1159" s="1"/>
      <c r="C1159" s="1"/>
      <c r="D1159" s="640"/>
      <c r="E1159" s="640"/>
      <c r="F1159" s="1"/>
      <c r="G1159" s="1"/>
      <c r="H1159" s="640"/>
      <c r="I1159" s="107"/>
    </row>
    <row r="1160" spans="1:9" ht="20.25" customHeight="1">
      <c r="A1160" s="1"/>
      <c r="B1160" s="1"/>
      <c r="C1160" s="1"/>
      <c r="D1160" s="640"/>
      <c r="E1160" s="640"/>
      <c r="F1160" s="1"/>
      <c r="G1160" s="1"/>
      <c r="H1160" s="640"/>
      <c r="I1160" s="107"/>
    </row>
    <row r="1161" spans="1:9" ht="20.25" customHeight="1">
      <c r="A1161" s="1"/>
      <c r="B1161" s="1"/>
      <c r="C1161" s="1"/>
      <c r="D1161" s="640"/>
      <c r="E1161" s="640"/>
      <c r="F1161" s="1"/>
      <c r="G1161" s="1"/>
      <c r="H1161" s="640"/>
      <c r="I1161" s="107"/>
    </row>
    <row r="1162" spans="1:9" ht="20.25" customHeight="1">
      <c r="A1162" s="1"/>
      <c r="B1162" s="1"/>
      <c r="C1162" s="1"/>
      <c r="D1162" s="640"/>
      <c r="E1162" s="640"/>
      <c r="F1162" s="1"/>
      <c r="G1162" s="1"/>
      <c r="H1162" s="640"/>
      <c r="I1162" s="107"/>
    </row>
    <row r="1163" spans="1:9" ht="20.25" customHeight="1">
      <c r="A1163" s="1"/>
      <c r="B1163" s="1"/>
      <c r="C1163" s="1"/>
      <c r="D1163" s="640"/>
      <c r="E1163" s="640"/>
      <c r="F1163" s="1"/>
      <c r="G1163" s="1"/>
      <c r="H1163" s="640"/>
      <c r="I1163" s="107"/>
    </row>
    <row r="1164" spans="1:9" ht="20.25" customHeight="1">
      <c r="A1164" s="1"/>
      <c r="B1164" s="1"/>
      <c r="C1164" s="1"/>
      <c r="D1164" s="640"/>
      <c r="E1164" s="640"/>
      <c r="F1164" s="1"/>
      <c r="G1164" s="1"/>
      <c r="H1164" s="640"/>
      <c r="I1164" s="107"/>
    </row>
    <row r="1165" spans="1:9" ht="20.25" customHeight="1">
      <c r="A1165" s="1"/>
      <c r="B1165" s="1"/>
      <c r="C1165" s="1"/>
      <c r="D1165" s="640"/>
      <c r="E1165" s="640"/>
      <c r="F1165" s="1"/>
      <c r="G1165" s="1"/>
      <c r="H1165" s="640"/>
      <c r="I1165" s="107"/>
    </row>
    <row r="1166" spans="1:9" ht="20.25" customHeight="1">
      <c r="A1166" s="1"/>
      <c r="B1166" s="1"/>
      <c r="C1166" s="1"/>
      <c r="D1166" s="640"/>
      <c r="E1166" s="640"/>
      <c r="F1166" s="1"/>
      <c r="G1166" s="1"/>
      <c r="H1166" s="640"/>
      <c r="I1166" s="107"/>
    </row>
    <row r="1167" spans="1:9" ht="20.25" customHeight="1">
      <c r="A1167" s="1"/>
      <c r="B1167" s="1"/>
      <c r="C1167" s="1"/>
      <c r="D1167" s="640"/>
      <c r="E1167" s="640"/>
      <c r="F1167" s="1"/>
      <c r="G1167" s="1"/>
      <c r="H1167" s="640"/>
      <c r="I1167" s="107"/>
    </row>
    <row r="1168" spans="1:9" ht="20.25" customHeight="1">
      <c r="A1168" s="1"/>
      <c r="B1168" s="1"/>
      <c r="C1168" s="1"/>
      <c r="D1168" s="640"/>
      <c r="E1168" s="640"/>
      <c r="F1168" s="1"/>
      <c r="G1168" s="1"/>
      <c r="H1168" s="640"/>
      <c r="I1168" s="107"/>
    </row>
    <row r="1169" spans="1:9" ht="20.25" customHeight="1">
      <c r="A1169" s="1"/>
      <c r="B1169" s="1"/>
      <c r="C1169" s="1"/>
      <c r="D1169" s="640"/>
      <c r="E1169" s="640"/>
      <c r="F1169" s="1"/>
      <c r="G1169" s="1"/>
      <c r="H1169" s="640"/>
      <c r="I1169" s="107"/>
    </row>
    <row r="1170" spans="1:9" ht="20.25" customHeight="1">
      <c r="A1170" s="1"/>
      <c r="B1170" s="1"/>
      <c r="C1170" s="1"/>
      <c r="D1170" s="640"/>
      <c r="E1170" s="640"/>
      <c r="F1170" s="1"/>
      <c r="G1170" s="1"/>
      <c r="H1170" s="640"/>
      <c r="I1170" s="107"/>
    </row>
    <row r="1171" spans="1:9" ht="20.25" customHeight="1">
      <c r="A1171" s="1"/>
      <c r="B1171" s="1"/>
      <c r="C1171" s="1"/>
      <c r="D1171" s="640"/>
      <c r="E1171" s="640"/>
      <c r="F1171" s="1"/>
      <c r="G1171" s="1"/>
      <c r="H1171" s="640"/>
      <c r="I1171" s="107"/>
    </row>
    <row r="1172" spans="1:9" ht="20.25" customHeight="1">
      <c r="A1172" s="1"/>
      <c r="B1172" s="1"/>
      <c r="C1172" s="1"/>
      <c r="D1172" s="640"/>
      <c r="E1172" s="640"/>
      <c r="F1172" s="1"/>
      <c r="G1172" s="1"/>
      <c r="H1172" s="640"/>
      <c r="I1172" s="107"/>
    </row>
    <row r="1173" spans="1:9" ht="20.25" customHeight="1">
      <c r="A1173" s="1"/>
      <c r="B1173" s="1"/>
      <c r="C1173" s="1"/>
      <c r="D1173" s="640"/>
      <c r="E1173" s="640"/>
      <c r="F1173" s="1"/>
      <c r="G1173" s="1"/>
      <c r="H1173" s="640"/>
      <c r="I1173" s="107"/>
    </row>
    <row r="1174" spans="1:9" ht="20.25" customHeight="1">
      <c r="A1174" s="1"/>
      <c r="B1174" s="1"/>
      <c r="C1174" s="1"/>
      <c r="D1174" s="640"/>
      <c r="E1174" s="640"/>
      <c r="F1174" s="1"/>
      <c r="G1174" s="1"/>
      <c r="H1174" s="640"/>
      <c r="I1174" s="107"/>
    </row>
    <row r="1175" spans="1:9" ht="20.25" customHeight="1">
      <c r="A1175" s="1"/>
      <c r="B1175" s="1"/>
      <c r="C1175" s="1"/>
      <c r="D1175" s="640"/>
      <c r="E1175" s="640"/>
      <c r="F1175" s="1"/>
      <c r="G1175" s="1"/>
      <c r="H1175" s="640"/>
      <c r="I1175" s="107"/>
    </row>
    <row r="1176" spans="1:9" ht="20.25" customHeight="1">
      <c r="A1176" s="1"/>
      <c r="B1176" s="1"/>
      <c r="C1176" s="1"/>
      <c r="D1176" s="640"/>
      <c r="E1176" s="640"/>
      <c r="F1176" s="1"/>
      <c r="G1176" s="1"/>
      <c r="H1176" s="640"/>
      <c r="I1176" s="107"/>
    </row>
    <row r="1177" spans="1:9" ht="20.25" customHeight="1">
      <c r="A1177" s="1"/>
      <c r="B1177" s="1"/>
      <c r="C1177" s="1"/>
      <c r="D1177" s="640"/>
      <c r="E1177" s="640"/>
      <c r="F1177" s="1"/>
      <c r="G1177" s="1"/>
      <c r="H1177" s="640"/>
      <c r="I1177" s="107"/>
    </row>
    <row r="1178" spans="1:9" ht="20.25" customHeight="1">
      <c r="A1178" s="1"/>
      <c r="B1178" s="1"/>
      <c r="C1178" s="1"/>
      <c r="D1178" s="640"/>
      <c r="E1178" s="640"/>
      <c r="F1178" s="1"/>
      <c r="G1178" s="1"/>
      <c r="H1178" s="640"/>
      <c r="I1178" s="107"/>
    </row>
    <row r="1179" spans="1:9" ht="20.25" customHeight="1">
      <c r="A1179" s="1"/>
      <c r="B1179" s="1"/>
      <c r="C1179" s="1"/>
      <c r="D1179" s="640"/>
      <c r="E1179" s="640"/>
      <c r="F1179" s="1"/>
      <c r="G1179" s="1"/>
      <c r="H1179" s="640"/>
      <c r="I1179" s="107"/>
    </row>
    <row r="1180" spans="1:9" ht="20.25" customHeight="1">
      <c r="A1180" s="1"/>
      <c r="B1180" s="1"/>
      <c r="C1180" s="1"/>
      <c r="D1180" s="640"/>
      <c r="E1180" s="640"/>
      <c r="F1180" s="1"/>
      <c r="G1180" s="1"/>
      <c r="H1180" s="640"/>
      <c r="I1180" s="107"/>
    </row>
    <row r="1181" spans="1:9" ht="20.25" customHeight="1">
      <c r="A1181" s="1"/>
      <c r="B1181" s="1"/>
      <c r="C1181" s="1"/>
      <c r="D1181" s="640"/>
      <c r="E1181" s="640"/>
      <c r="F1181" s="1"/>
      <c r="G1181" s="1"/>
      <c r="H1181" s="640"/>
      <c r="I1181" s="107"/>
    </row>
    <row r="1182" spans="1:9" ht="20.25" customHeight="1">
      <c r="A1182" s="1"/>
      <c r="B1182" s="1"/>
      <c r="C1182" s="1"/>
      <c r="D1182" s="640"/>
      <c r="E1182" s="640"/>
      <c r="F1182" s="1"/>
      <c r="G1182" s="1"/>
      <c r="H1182" s="640"/>
      <c r="I1182" s="107"/>
    </row>
    <row r="1183" spans="1:9" ht="20.25" customHeight="1">
      <c r="A1183" s="1"/>
      <c r="B1183" s="1"/>
      <c r="C1183" s="1"/>
      <c r="D1183" s="640"/>
      <c r="E1183" s="640"/>
      <c r="F1183" s="1"/>
      <c r="G1183" s="1"/>
      <c r="H1183" s="640"/>
      <c r="I1183" s="107"/>
    </row>
    <row r="1184" spans="1:9" ht="20.25" customHeight="1">
      <c r="A1184" s="1"/>
      <c r="B1184" s="1"/>
      <c r="C1184" s="1"/>
      <c r="D1184" s="640"/>
      <c r="E1184" s="640"/>
      <c r="F1184" s="1"/>
      <c r="G1184" s="1"/>
      <c r="H1184" s="640"/>
      <c r="I1184" s="107"/>
    </row>
    <row r="1185" spans="1:9" ht="20.25" customHeight="1">
      <c r="A1185" s="1"/>
      <c r="B1185" s="1"/>
      <c r="C1185" s="1"/>
      <c r="D1185" s="640"/>
      <c r="E1185" s="640"/>
      <c r="F1185" s="1"/>
      <c r="G1185" s="1"/>
      <c r="H1185" s="640"/>
      <c r="I1185" s="107"/>
    </row>
    <row r="1186" spans="1:9" ht="20.25" customHeight="1">
      <c r="A1186" s="1"/>
      <c r="B1186" s="1"/>
      <c r="C1186" s="1"/>
      <c r="D1186" s="640"/>
      <c r="E1186" s="640"/>
      <c r="F1186" s="1"/>
      <c r="G1186" s="1"/>
      <c r="H1186" s="640"/>
      <c r="I1186" s="107"/>
    </row>
    <row r="1187" spans="1:9" ht="20.25" customHeight="1">
      <c r="A1187" s="1"/>
      <c r="B1187" s="1"/>
      <c r="C1187" s="1"/>
      <c r="D1187" s="640"/>
      <c r="E1187" s="640"/>
      <c r="F1187" s="1"/>
      <c r="G1187" s="1"/>
      <c r="H1187" s="640"/>
      <c r="I1187" s="107"/>
    </row>
    <row r="1188" spans="1:9" ht="20.25" customHeight="1">
      <c r="A1188" s="1"/>
      <c r="B1188" s="1"/>
      <c r="C1188" s="1"/>
      <c r="D1188" s="640"/>
      <c r="E1188" s="640"/>
      <c r="F1188" s="1"/>
      <c r="G1188" s="1"/>
      <c r="H1188" s="640"/>
      <c r="I1188" s="107"/>
    </row>
    <row r="1189" spans="1:9" ht="20.25" customHeight="1">
      <c r="A1189" s="1"/>
      <c r="B1189" s="1"/>
      <c r="C1189" s="1"/>
      <c r="D1189" s="640"/>
      <c r="E1189" s="640"/>
      <c r="F1189" s="1"/>
      <c r="G1189" s="1"/>
      <c r="H1189" s="640"/>
      <c r="I1189" s="107"/>
    </row>
    <row r="1190" spans="1:9" ht="20.25" customHeight="1">
      <c r="A1190" s="1"/>
      <c r="B1190" s="1"/>
      <c r="C1190" s="1"/>
      <c r="D1190" s="640"/>
      <c r="E1190" s="640"/>
      <c r="F1190" s="1"/>
      <c r="G1190" s="1"/>
      <c r="H1190" s="640"/>
      <c r="I1190" s="107"/>
    </row>
    <row r="1191" spans="1:9" ht="20.25" customHeight="1">
      <c r="A1191" s="1"/>
      <c r="B1191" s="1"/>
      <c r="C1191" s="1"/>
      <c r="D1191" s="640"/>
      <c r="E1191" s="640"/>
      <c r="F1191" s="1"/>
      <c r="G1191" s="1"/>
      <c r="H1191" s="640"/>
      <c r="I1191" s="107"/>
    </row>
    <row r="1192" spans="1:9" ht="20.25" customHeight="1">
      <c r="A1192" s="1"/>
      <c r="B1192" s="1"/>
      <c r="C1192" s="1"/>
      <c r="D1192" s="640"/>
      <c r="E1192" s="640"/>
      <c r="F1192" s="1"/>
      <c r="G1192" s="1"/>
      <c r="H1192" s="640"/>
      <c r="I1192" s="107"/>
    </row>
    <row r="1193" spans="1:9" ht="20.25" customHeight="1">
      <c r="A1193" s="1"/>
      <c r="B1193" s="1"/>
      <c r="C1193" s="1"/>
      <c r="D1193" s="640"/>
      <c r="E1193" s="640"/>
      <c r="F1193" s="1"/>
      <c r="G1193" s="1"/>
      <c r="H1193" s="640"/>
      <c r="I1193" s="107"/>
    </row>
    <row r="1194" spans="1:9" ht="20.25" customHeight="1">
      <c r="A1194" s="1"/>
      <c r="B1194" s="1"/>
      <c r="C1194" s="1"/>
      <c r="D1194" s="640"/>
      <c r="E1194" s="640"/>
      <c r="F1194" s="1"/>
      <c r="G1194" s="1"/>
      <c r="H1194" s="640"/>
      <c r="I1194" s="107"/>
    </row>
    <row r="1195" spans="1:9" ht="20.25" customHeight="1">
      <c r="A1195" s="1"/>
      <c r="B1195" s="1"/>
      <c r="C1195" s="1"/>
      <c r="D1195" s="640"/>
      <c r="E1195" s="640"/>
      <c r="F1195" s="1"/>
      <c r="G1195" s="1"/>
      <c r="H1195" s="640"/>
      <c r="I1195" s="107"/>
    </row>
    <row r="1196" spans="1:9" ht="20.25" customHeight="1">
      <c r="A1196" s="1"/>
      <c r="B1196" s="1"/>
      <c r="C1196" s="1"/>
      <c r="D1196" s="640"/>
      <c r="E1196" s="640"/>
      <c r="F1196" s="1"/>
      <c r="G1196" s="1"/>
      <c r="H1196" s="640"/>
      <c r="I1196" s="107"/>
    </row>
    <row r="1197" spans="1:9" ht="20.25" customHeight="1">
      <c r="A1197" s="1"/>
      <c r="B1197" s="1"/>
      <c r="C1197" s="1"/>
      <c r="D1197" s="640"/>
      <c r="E1197" s="640"/>
      <c r="F1197" s="1"/>
      <c r="G1197" s="1"/>
      <c r="H1197" s="640"/>
      <c r="I1197" s="107"/>
    </row>
    <row r="1198" spans="1:9" ht="20.25" customHeight="1">
      <c r="A1198" s="1"/>
      <c r="B1198" s="1"/>
      <c r="C1198" s="1"/>
      <c r="D1198" s="640"/>
      <c r="E1198" s="640"/>
      <c r="F1198" s="1"/>
      <c r="G1198" s="1"/>
      <c r="H1198" s="640"/>
      <c r="I1198" s="107"/>
    </row>
    <row r="1199" spans="1:9" ht="20.25" customHeight="1">
      <c r="A1199" s="1"/>
      <c r="B1199" s="1"/>
      <c r="C1199" s="1"/>
      <c r="D1199" s="640"/>
      <c r="E1199" s="640"/>
      <c r="F1199" s="1"/>
      <c r="G1199" s="1"/>
      <c r="H1199" s="640"/>
      <c r="I1199" s="107"/>
    </row>
    <row r="1200" spans="1:9" ht="20.25" customHeight="1">
      <c r="A1200" s="1"/>
      <c r="B1200" s="1"/>
      <c r="C1200" s="1"/>
      <c r="D1200" s="640"/>
      <c r="E1200" s="640"/>
      <c r="F1200" s="1"/>
      <c r="G1200" s="1"/>
      <c r="H1200" s="640"/>
      <c r="I1200" s="107"/>
    </row>
  </sheetData>
  <sheetProtection/>
  <mergeCells count="6">
    <mergeCell ref="A1:I1"/>
    <mergeCell ref="A2:I2"/>
    <mergeCell ref="I4:I5"/>
    <mergeCell ref="A6:A7"/>
    <mergeCell ref="D4:G4"/>
    <mergeCell ref="H4:H5"/>
  </mergeCells>
  <printOptions horizontalCentered="1"/>
  <pageMargins left="0.4724409448818898" right="0.35433070866141736" top="0.6692913385826772" bottom="0.3937007874015748" header="0.5118110236220472" footer="0.2362204724409449"/>
  <pageSetup fitToHeight="999" horizontalDpi="600" verticalDpi="600" orientation="landscape" paperSize="9" scale="81" r:id="rId1"/>
  <headerFooter alignWithMargins="0">
    <oddFooter>&amp;C&amp;P쪽</oddFooter>
  </headerFooter>
  <rowBreaks count="8" manualBreakCount="8">
    <brk id="39" max="8" man="1"/>
    <brk id="57" max="8" man="1"/>
    <brk id="125" max="8" man="1"/>
    <brk id="141" max="8" man="1"/>
    <brk id="157" max="8" man="1"/>
    <brk id="173" max="8" man="1"/>
    <brk id="189" max="8" man="1"/>
    <brk id="20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2"/>
  <sheetViews>
    <sheetView showGridLines="0" view="pageBreakPreview" zoomScale="90" zoomScaleNormal="7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88671875" defaultRowHeight="13.5"/>
  <cols>
    <col min="1" max="1" width="9.99609375" style="1" customWidth="1"/>
    <col min="2" max="2" width="13.4453125" style="1" customWidth="1"/>
    <col min="3" max="3" width="13.88671875" style="100" customWidth="1"/>
    <col min="4" max="4" width="13.3359375" style="640" customWidth="1"/>
    <col min="5" max="5" width="13.21484375" style="673" customWidth="1"/>
    <col min="6" max="6" width="14.21484375" style="673" customWidth="1"/>
    <col min="7" max="7" width="48.6640625" style="640" bestFit="1" customWidth="1"/>
    <col min="8" max="16384" width="8.88671875" style="1" customWidth="1"/>
  </cols>
  <sheetData>
    <row r="1" spans="1:7" s="65" customFormat="1" ht="37.5" customHeight="1">
      <c r="A1" s="1326" t="s">
        <v>1261</v>
      </c>
      <c r="B1" s="1326"/>
      <c r="C1" s="1326"/>
      <c r="D1" s="1326"/>
      <c r="E1" s="1326"/>
      <c r="F1" s="1326"/>
      <c r="G1" s="1326"/>
    </row>
    <row r="2" spans="1:7" s="65" customFormat="1" ht="19.5" customHeight="1">
      <c r="A2" s="1327" t="s">
        <v>1251</v>
      </c>
      <c r="B2" s="1327"/>
      <c r="C2" s="1327"/>
      <c r="D2" s="1327"/>
      <c r="E2" s="1327"/>
      <c r="F2" s="1327"/>
      <c r="G2" s="1327"/>
    </row>
    <row r="3" spans="1:7" s="65" customFormat="1" ht="19.5" customHeight="1">
      <c r="A3" s="66" t="s">
        <v>200</v>
      </c>
      <c r="C3" s="212"/>
      <c r="E3" s="668"/>
      <c r="F3" s="103"/>
      <c r="G3" s="843"/>
    </row>
    <row r="4" spans="1:7" s="65" customFormat="1" ht="19.5" customHeight="1">
      <c r="A4" s="66" t="s">
        <v>201</v>
      </c>
      <c r="C4" s="212"/>
      <c r="E4" s="668"/>
      <c r="F4" s="1343" t="s">
        <v>202</v>
      </c>
      <c r="G4" s="1343"/>
    </row>
    <row r="5" spans="1:7" s="2" customFormat="1" ht="28.5" customHeight="1">
      <c r="A5" s="1346" t="s">
        <v>203</v>
      </c>
      <c r="B5" s="1347"/>
      <c r="C5" s="1348"/>
      <c r="D5" s="1339" t="s">
        <v>1262</v>
      </c>
      <c r="E5" s="1339" t="s">
        <v>1263</v>
      </c>
      <c r="F5" s="1349" t="s">
        <v>324</v>
      </c>
      <c r="G5" s="1344" t="s">
        <v>334</v>
      </c>
    </row>
    <row r="6" spans="1:7" ht="28.5" customHeight="1">
      <c r="A6" s="3" t="s">
        <v>113</v>
      </c>
      <c r="B6" s="4" t="s">
        <v>114</v>
      </c>
      <c r="C6" s="213" t="s">
        <v>228</v>
      </c>
      <c r="D6" s="1340"/>
      <c r="E6" s="1340"/>
      <c r="F6" s="1350"/>
      <c r="G6" s="1345"/>
    </row>
    <row r="7" spans="1:7" ht="28.5" customHeight="1">
      <c r="A7" s="1337" t="s">
        <v>61</v>
      </c>
      <c r="B7" s="5"/>
      <c r="C7" s="214"/>
      <c r="D7" s="616"/>
      <c r="E7" s="616"/>
      <c r="F7" s="844"/>
      <c r="G7" s="845"/>
    </row>
    <row r="8" spans="1:7" ht="28.5" customHeight="1" thickBot="1">
      <c r="A8" s="1338"/>
      <c r="B8" s="6"/>
      <c r="C8" s="171"/>
      <c r="D8" s="617">
        <f>D10+D79+D37+D164+D102+D119+D153+D140</f>
        <v>63412118</v>
      </c>
      <c r="E8" s="617">
        <f>E10+E79+E37+E164+E102+E119+E153+E140</f>
        <v>60587129</v>
      </c>
      <c r="F8" s="617">
        <f>SUM(D8-E8)</f>
        <v>2824989</v>
      </c>
      <c r="G8" s="846"/>
    </row>
    <row r="9" spans="1:7" ht="30" customHeight="1" thickTop="1">
      <c r="A9" s="46">
        <v>5100</v>
      </c>
      <c r="B9" s="54"/>
      <c r="C9" s="172"/>
      <c r="D9" s="618"/>
      <c r="E9" s="618"/>
      <c r="F9" s="847"/>
      <c r="G9" s="794"/>
    </row>
    <row r="10" spans="1:7" ht="30" customHeight="1">
      <c r="A10" s="48" t="s">
        <v>206</v>
      </c>
      <c r="B10" s="55"/>
      <c r="C10" s="174"/>
      <c r="D10" s="619">
        <f>D12+D26</f>
        <v>46365601</v>
      </c>
      <c r="E10" s="619">
        <f>E12+E26</f>
        <v>45953411</v>
      </c>
      <c r="F10" s="660">
        <f>D10-E10</f>
        <v>412190</v>
      </c>
      <c r="G10" s="822"/>
    </row>
    <row r="11" spans="1:7" ht="30" customHeight="1">
      <c r="A11" s="44"/>
      <c r="B11" s="51">
        <v>5110</v>
      </c>
      <c r="C11" s="176"/>
      <c r="D11" s="620"/>
      <c r="E11" s="620"/>
      <c r="F11" s="653"/>
      <c r="G11" s="794"/>
    </row>
    <row r="12" spans="1:7" ht="30" customHeight="1">
      <c r="A12" s="44"/>
      <c r="B12" s="49" t="s">
        <v>115</v>
      </c>
      <c r="C12" s="176"/>
      <c r="D12" s="620">
        <f>D14+D20</f>
        <v>46365601</v>
      </c>
      <c r="E12" s="620">
        <f>E14+E20</f>
        <v>45953411</v>
      </c>
      <c r="F12" s="660">
        <f>D12-E12</f>
        <v>412190</v>
      </c>
      <c r="G12" s="794"/>
    </row>
    <row r="13" spans="1:7" ht="35.25" customHeight="1">
      <c r="A13" s="44"/>
      <c r="B13" s="49"/>
      <c r="C13" s="177">
        <v>5111</v>
      </c>
      <c r="D13" s="621" t="s">
        <v>3</v>
      </c>
      <c r="E13" s="621" t="s">
        <v>3</v>
      </c>
      <c r="F13" s="662"/>
      <c r="G13" s="799"/>
    </row>
    <row r="14" spans="1:7" ht="35.25" customHeight="1">
      <c r="A14" s="44"/>
      <c r="B14" s="49"/>
      <c r="C14" s="176" t="s">
        <v>10</v>
      </c>
      <c r="D14" s="620">
        <v>1251970</v>
      </c>
      <c r="E14" s="620">
        <v>1305074</v>
      </c>
      <c r="F14" s="653">
        <f>D14-E14</f>
        <v>-53104</v>
      </c>
      <c r="G14" s="894" t="s">
        <v>1388</v>
      </c>
    </row>
    <row r="15" spans="1:7" ht="35.25" customHeight="1">
      <c r="A15" s="44"/>
      <c r="B15" s="49"/>
      <c r="C15" s="176"/>
      <c r="D15" s="620" t="s">
        <v>3</v>
      </c>
      <c r="E15" s="620" t="s">
        <v>3</v>
      </c>
      <c r="F15" s="653"/>
      <c r="G15" s="894" t="s">
        <v>1381</v>
      </c>
    </row>
    <row r="16" spans="1:7" ht="35.25" customHeight="1">
      <c r="A16" s="44"/>
      <c r="B16" s="49"/>
      <c r="C16" s="176"/>
      <c r="D16" s="620"/>
      <c r="E16" s="620"/>
      <c r="F16" s="653"/>
      <c r="G16" s="894" t="s">
        <v>1382</v>
      </c>
    </row>
    <row r="17" spans="1:7" ht="35.25" customHeight="1">
      <c r="A17" s="44"/>
      <c r="B17" s="49"/>
      <c r="C17" s="176"/>
      <c r="D17" s="620"/>
      <c r="E17" s="620"/>
      <c r="F17" s="653"/>
      <c r="G17" s="895" t="s">
        <v>1003</v>
      </c>
    </row>
    <row r="18" spans="1:7" ht="35.25" customHeight="1">
      <c r="A18" s="44"/>
      <c r="B18" s="49"/>
      <c r="C18" s="176"/>
      <c r="D18" s="620"/>
      <c r="E18" s="620"/>
      <c r="F18" s="653"/>
      <c r="G18" s="1146" t="s">
        <v>1380</v>
      </c>
    </row>
    <row r="19" spans="1:7" ht="30" customHeight="1">
      <c r="A19" s="44"/>
      <c r="B19" s="49"/>
      <c r="C19" s="177">
        <v>5112</v>
      </c>
      <c r="D19" s="621" t="s">
        <v>3</v>
      </c>
      <c r="E19" s="621" t="s">
        <v>3</v>
      </c>
      <c r="F19" s="662"/>
      <c r="G19" s="883"/>
    </row>
    <row r="20" spans="1:7" ht="30" customHeight="1">
      <c r="A20" s="44"/>
      <c r="B20" s="49"/>
      <c r="C20" s="176" t="s">
        <v>11</v>
      </c>
      <c r="D20" s="620">
        <v>45113631</v>
      </c>
      <c r="E20" s="620">
        <v>44648337</v>
      </c>
      <c r="F20" s="653">
        <f>D20-E20</f>
        <v>465294</v>
      </c>
      <c r="G20" s="894" t="s">
        <v>1387</v>
      </c>
    </row>
    <row r="21" spans="1:7" ht="30" customHeight="1">
      <c r="A21" s="44"/>
      <c r="B21" s="49"/>
      <c r="C21" s="176"/>
      <c r="D21" s="620"/>
      <c r="E21" s="620"/>
      <c r="F21" s="653"/>
      <c r="G21" s="848" t="s">
        <v>1385</v>
      </c>
    </row>
    <row r="22" spans="1:7" ht="30" customHeight="1">
      <c r="A22" s="44"/>
      <c r="B22" s="49"/>
      <c r="C22" s="176"/>
      <c r="D22" s="620"/>
      <c r="E22" s="620"/>
      <c r="F22" s="653"/>
      <c r="G22" s="848" t="s">
        <v>1386</v>
      </c>
    </row>
    <row r="23" spans="1:7" ht="30" customHeight="1">
      <c r="A23" s="44"/>
      <c r="B23" s="49"/>
      <c r="C23" s="176"/>
      <c r="D23" s="620"/>
      <c r="E23" s="620"/>
      <c r="F23" s="653"/>
      <c r="G23" s="848" t="s">
        <v>1384</v>
      </c>
    </row>
    <row r="24" spans="1:10" ht="30" customHeight="1">
      <c r="A24" s="44"/>
      <c r="B24" s="49"/>
      <c r="C24" s="176"/>
      <c r="D24" s="620"/>
      <c r="E24" s="620"/>
      <c r="F24" s="653"/>
      <c r="G24" s="848" t="s">
        <v>1383</v>
      </c>
      <c r="H24" s="7"/>
      <c r="I24" s="7"/>
      <c r="J24" s="7"/>
    </row>
    <row r="25" spans="1:10" ht="23.25" customHeight="1">
      <c r="A25" s="44"/>
      <c r="B25" s="56">
        <v>5120</v>
      </c>
      <c r="C25" s="178"/>
      <c r="D25" s="621"/>
      <c r="E25" s="621"/>
      <c r="F25" s="662"/>
      <c r="G25" s="849"/>
      <c r="H25" s="7"/>
      <c r="I25" s="7"/>
      <c r="J25" s="7"/>
    </row>
    <row r="26" spans="1:10" ht="30" customHeight="1">
      <c r="A26" s="44"/>
      <c r="B26" s="49" t="s">
        <v>116</v>
      </c>
      <c r="C26" s="174"/>
      <c r="D26" s="619">
        <f>D28</f>
        <v>0</v>
      </c>
      <c r="E26" s="619">
        <f>E28</f>
        <v>0</v>
      </c>
      <c r="F26" s="660">
        <f>D26-E26</f>
        <v>0</v>
      </c>
      <c r="G26" s="850"/>
      <c r="H26" s="7"/>
      <c r="I26" s="7"/>
      <c r="J26" s="7"/>
    </row>
    <row r="27" spans="1:10" ht="30" customHeight="1">
      <c r="A27" s="44"/>
      <c r="B27" s="49"/>
      <c r="C27" s="176">
        <v>5121</v>
      </c>
      <c r="D27" s="620"/>
      <c r="E27" s="620"/>
      <c r="F27" s="653"/>
      <c r="G27" s="741" t="s">
        <v>3</v>
      </c>
      <c r="H27" s="7"/>
      <c r="I27" s="7"/>
      <c r="J27" s="7"/>
    </row>
    <row r="28" spans="1:10" ht="30" customHeight="1">
      <c r="A28" s="44"/>
      <c r="B28" s="49"/>
      <c r="C28" s="176" t="s">
        <v>12</v>
      </c>
      <c r="D28" s="620">
        <v>0</v>
      </c>
      <c r="E28" s="620">
        <v>0</v>
      </c>
      <c r="F28" s="653">
        <f>D28-E28</f>
        <v>0</v>
      </c>
      <c r="G28" s="741"/>
      <c r="H28" s="7"/>
      <c r="I28" s="7"/>
      <c r="J28" s="7"/>
    </row>
    <row r="29" spans="1:10" ht="30" customHeight="1">
      <c r="A29" s="44"/>
      <c r="B29" s="49"/>
      <c r="C29" s="176"/>
      <c r="D29" s="620"/>
      <c r="E29" s="620"/>
      <c r="F29" s="653"/>
      <c r="G29" s="848"/>
      <c r="H29" s="7"/>
      <c r="I29" s="7"/>
      <c r="J29" s="7"/>
    </row>
    <row r="30" spans="1:10" ht="30" customHeight="1">
      <c r="A30" s="44"/>
      <c r="B30" s="49"/>
      <c r="C30" s="176"/>
      <c r="D30" s="620"/>
      <c r="E30" s="620"/>
      <c r="F30" s="653"/>
      <c r="G30" s="851"/>
      <c r="H30" s="7"/>
      <c r="I30" s="7"/>
      <c r="J30" s="7"/>
    </row>
    <row r="31" spans="1:10" ht="30" customHeight="1">
      <c r="A31" s="44"/>
      <c r="B31" s="49"/>
      <c r="C31" s="176"/>
      <c r="D31" s="620"/>
      <c r="E31" s="620"/>
      <c r="F31" s="653"/>
      <c r="G31" s="851"/>
      <c r="H31" s="7"/>
      <c r="I31" s="7"/>
      <c r="J31" s="7"/>
    </row>
    <row r="32" spans="1:10" ht="30" customHeight="1">
      <c r="A32" s="44"/>
      <c r="B32" s="49"/>
      <c r="C32" s="176"/>
      <c r="D32" s="620"/>
      <c r="E32" s="620"/>
      <c r="F32" s="653"/>
      <c r="G32" s="852"/>
      <c r="H32" s="7"/>
      <c r="I32" s="7"/>
      <c r="J32" s="7"/>
    </row>
    <row r="33" spans="1:7" ht="28.5" customHeight="1">
      <c r="A33" s="46"/>
      <c r="B33" s="51"/>
      <c r="C33" s="175"/>
      <c r="D33" s="624"/>
      <c r="E33" s="624"/>
      <c r="F33" s="624"/>
      <c r="G33" s="852"/>
    </row>
    <row r="34" spans="1:7" ht="28.5" customHeight="1">
      <c r="A34" s="46"/>
      <c r="B34" s="51"/>
      <c r="C34" s="175"/>
      <c r="D34" s="624"/>
      <c r="E34" s="624"/>
      <c r="F34" s="624"/>
      <c r="G34" s="852"/>
    </row>
    <row r="35" spans="1:7" ht="33" customHeight="1">
      <c r="A35" s="46"/>
      <c r="B35" s="51"/>
      <c r="C35" s="175"/>
      <c r="D35" s="624"/>
      <c r="E35" s="624"/>
      <c r="F35" s="624"/>
      <c r="G35" s="852"/>
    </row>
    <row r="36" spans="1:10" ht="30" customHeight="1">
      <c r="A36" s="76">
        <v>5200</v>
      </c>
      <c r="B36" s="56"/>
      <c r="C36" s="178"/>
      <c r="D36" s="621"/>
      <c r="E36" s="621"/>
      <c r="F36" s="662"/>
      <c r="G36" s="853"/>
      <c r="H36" s="7"/>
      <c r="I36" s="7"/>
      <c r="J36" s="7"/>
    </row>
    <row r="37" spans="1:10" ht="30" customHeight="1">
      <c r="A37" s="328" t="s">
        <v>37</v>
      </c>
      <c r="B37" s="329"/>
      <c r="C37" s="181"/>
      <c r="D37" s="623">
        <f>D39+D55+D65+D75</f>
        <v>0</v>
      </c>
      <c r="E37" s="623">
        <f>E39+E55+E65+E75</f>
        <v>0</v>
      </c>
      <c r="F37" s="659">
        <f>D37-E37</f>
        <v>0</v>
      </c>
      <c r="G37" s="854"/>
      <c r="H37" s="7"/>
      <c r="I37" s="7"/>
      <c r="J37" s="7"/>
    </row>
    <row r="38" spans="1:10" ht="30" customHeight="1">
      <c r="A38" s="62"/>
      <c r="B38" s="51">
        <v>5210</v>
      </c>
      <c r="C38" s="176"/>
      <c r="D38" s="620"/>
      <c r="E38" s="620"/>
      <c r="F38" s="653"/>
      <c r="G38" s="741"/>
      <c r="H38" s="7"/>
      <c r="I38" s="7"/>
      <c r="J38" s="7"/>
    </row>
    <row r="39" spans="1:10" ht="30" customHeight="1">
      <c r="A39" s="44"/>
      <c r="B39" s="49" t="s">
        <v>117</v>
      </c>
      <c r="C39" s="174"/>
      <c r="D39" s="619">
        <f>SUM(D40:D53)</f>
        <v>0</v>
      </c>
      <c r="E39" s="619">
        <f>SUM(E40:E53)</f>
        <v>0</v>
      </c>
      <c r="F39" s="660">
        <f>D39-E39</f>
        <v>0</v>
      </c>
      <c r="G39" s="855"/>
      <c r="H39" s="7"/>
      <c r="I39" s="7"/>
      <c r="J39" s="7"/>
    </row>
    <row r="40" spans="1:10" ht="22.5" customHeight="1">
      <c r="A40" s="44"/>
      <c r="B40" s="49"/>
      <c r="C40" s="175">
        <v>5211</v>
      </c>
      <c r="D40" s="620"/>
      <c r="E40" s="620"/>
      <c r="F40" s="653"/>
      <c r="G40" s="741" t="s">
        <v>3</v>
      </c>
      <c r="H40" s="7"/>
      <c r="I40" s="7"/>
      <c r="J40" s="7"/>
    </row>
    <row r="41" spans="1:10" ht="27" customHeight="1">
      <c r="A41" s="44"/>
      <c r="B41" s="49"/>
      <c r="C41" s="179" t="s">
        <v>13</v>
      </c>
      <c r="D41" s="620">
        <v>0</v>
      </c>
      <c r="E41" s="620">
        <v>0</v>
      </c>
      <c r="F41" s="660">
        <f>D41-E41</f>
        <v>0</v>
      </c>
      <c r="G41" s="741" t="s">
        <v>3</v>
      </c>
      <c r="H41" s="7"/>
      <c r="I41" s="7"/>
      <c r="J41" s="7"/>
    </row>
    <row r="42" spans="1:10" ht="26.25" customHeight="1">
      <c r="A42" s="44"/>
      <c r="B42" s="49"/>
      <c r="C42" s="177">
        <v>5212</v>
      </c>
      <c r="D42" s="621"/>
      <c r="E42" s="621"/>
      <c r="F42" s="662"/>
      <c r="G42" s="853" t="s">
        <v>3</v>
      </c>
      <c r="H42" s="7"/>
      <c r="I42" s="7"/>
      <c r="J42" s="7"/>
    </row>
    <row r="43" spans="1:10" ht="26.25" customHeight="1">
      <c r="A43" s="44"/>
      <c r="B43" s="49"/>
      <c r="C43" s="176" t="s">
        <v>14</v>
      </c>
      <c r="D43" s="620">
        <v>0</v>
      </c>
      <c r="E43" s="620">
        <v>0</v>
      </c>
      <c r="F43" s="653">
        <f>D43-E43</f>
        <v>0</v>
      </c>
      <c r="G43" s="741"/>
      <c r="H43" s="7"/>
      <c r="I43" s="7"/>
      <c r="J43" s="7"/>
    </row>
    <row r="44" spans="1:10" ht="26.25" customHeight="1">
      <c r="A44" s="44"/>
      <c r="B44" s="49"/>
      <c r="C44" s="176"/>
      <c r="D44" s="620"/>
      <c r="E44" s="620"/>
      <c r="F44" s="653"/>
      <c r="G44" s="741"/>
      <c r="H44" s="7"/>
      <c r="I44" s="7"/>
      <c r="J44" s="7"/>
    </row>
    <row r="45" spans="1:10" ht="26.25" customHeight="1">
      <c r="A45" s="44"/>
      <c r="B45" s="49"/>
      <c r="C45" s="176"/>
      <c r="D45" s="620"/>
      <c r="E45" s="620"/>
      <c r="F45" s="653"/>
      <c r="G45" s="741"/>
      <c r="H45" s="7"/>
      <c r="I45" s="7"/>
      <c r="J45" s="7"/>
    </row>
    <row r="46" spans="1:10" ht="26.25" customHeight="1">
      <c r="A46" s="44"/>
      <c r="B46" s="49"/>
      <c r="C46" s="176"/>
      <c r="D46" s="620"/>
      <c r="E46" s="620"/>
      <c r="F46" s="653"/>
      <c r="G46" s="741"/>
      <c r="H46" s="7"/>
      <c r="I46" s="7"/>
      <c r="J46" s="7"/>
    </row>
    <row r="47" spans="1:10" ht="26.25" customHeight="1">
      <c r="A47" s="44"/>
      <c r="B47" s="49"/>
      <c r="C47" s="174"/>
      <c r="D47" s="619"/>
      <c r="E47" s="619"/>
      <c r="F47" s="660"/>
      <c r="G47" s="855"/>
      <c r="H47" s="7"/>
      <c r="I47" s="7"/>
      <c r="J47" s="7"/>
    </row>
    <row r="48" spans="1:10" ht="24" customHeight="1">
      <c r="A48" s="44"/>
      <c r="B48" s="49"/>
      <c r="C48" s="176">
        <v>5214</v>
      </c>
      <c r="D48" s="620"/>
      <c r="E48" s="620"/>
      <c r="F48" s="653"/>
      <c r="G48" s="741" t="s">
        <v>3</v>
      </c>
      <c r="H48" s="7"/>
      <c r="I48" s="7"/>
      <c r="J48" s="7"/>
    </row>
    <row r="49" spans="1:10" ht="30" customHeight="1">
      <c r="A49" s="44"/>
      <c r="B49" s="49"/>
      <c r="C49" s="180" t="s">
        <v>15</v>
      </c>
      <c r="D49" s="619">
        <v>0</v>
      </c>
      <c r="E49" s="619">
        <v>0</v>
      </c>
      <c r="F49" s="660">
        <f>D49-E49</f>
        <v>0</v>
      </c>
      <c r="G49" s="855"/>
      <c r="H49" s="7"/>
      <c r="I49" s="7"/>
      <c r="J49" s="7"/>
    </row>
    <row r="50" spans="1:10" ht="24.75" customHeight="1">
      <c r="A50" s="44"/>
      <c r="B50" s="49"/>
      <c r="C50" s="176">
        <v>5215</v>
      </c>
      <c r="D50" s="620"/>
      <c r="E50" s="620"/>
      <c r="F50" s="653"/>
      <c r="G50" s="741"/>
      <c r="H50" s="7"/>
      <c r="I50" s="7"/>
      <c r="J50" s="7"/>
    </row>
    <row r="51" spans="1:10" ht="30" customHeight="1">
      <c r="A51" s="44"/>
      <c r="B51" s="49"/>
      <c r="C51" s="882" t="s">
        <v>1150</v>
      </c>
      <c r="D51" s="619">
        <v>0</v>
      </c>
      <c r="E51" s="619">
        <v>0</v>
      </c>
      <c r="F51" s="660">
        <f>D51-E51</f>
        <v>0</v>
      </c>
      <c r="G51" s="855"/>
      <c r="H51" s="7"/>
      <c r="I51" s="7"/>
      <c r="J51" s="7"/>
    </row>
    <row r="52" spans="1:10" ht="21.75" customHeight="1">
      <c r="A52" s="44"/>
      <c r="B52" s="49"/>
      <c r="C52" s="176">
        <v>5218</v>
      </c>
      <c r="D52" s="620"/>
      <c r="E52" s="620"/>
      <c r="F52" s="653"/>
      <c r="G52" s="741"/>
      <c r="H52" s="7"/>
      <c r="I52" s="7"/>
      <c r="J52" s="7"/>
    </row>
    <row r="53" spans="1:10" ht="33" customHeight="1">
      <c r="A53" s="295"/>
      <c r="B53" s="296"/>
      <c r="C53" s="965" t="s">
        <v>1202</v>
      </c>
      <c r="D53" s="625">
        <v>0</v>
      </c>
      <c r="E53" s="625">
        <v>0</v>
      </c>
      <c r="F53" s="661">
        <f>D53-E53</f>
        <v>0</v>
      </c>
      <c r="G53" s="856"/>
      <c r="H53" s="7"/>
      <c r="I53" s="7"/>
      <c r="J53" s="7"/>
    </row>
    <row r="54" spans="1:10" ht="19.5" customHeight="1">
      <c r="A54" s="44"/>
      <c r="B54" s="49">
        <v>5220</v>
      </c>
      <c r="C54" s="176"/>
      <c r="D54" s="620"/>
      <c r="E54" s="620"/>
      <c r="F54" s="857"/>
      <c r="G54" s="858"/>
      <c r="H54" s="7"/>
      <c r="I54" s="7"/>
      <c r="J54" s="7"/>
    </row>
    <row r="55" spans="1:10" ht="30" customHeight="1">
      <c r="A55" s="44"/>
      <c r="B55" s="49" t="s">
        <v>118</v>
      </c>
      <c r="C55" s="174"/>
      <c r="D55" s="619">
        <f>D57+D59+D63</f>
        <v>0</v>
      </c>
      <c r="E55" s="619">
        <f>E57+E59+E63</f>
        <v>0</v>
      </c>
      <c r="F55" s="660">
        <f>D55-E55</f>
        <v>0</v>
      </c>
      <c r="G55" s="855"/>
      <c r="H55" s="7"/>
      <c r="I55" s="7"/>
      <c r="J55" s="7"/>
    </row>
    <row r="56" spans="1:10" ht="21.75" customHeight="1">
      <c r="A56" s="62"/>
      <c r="B56" s="49"/>
      <c r="C56" s="178">
        <v>5221</v>
      </c>
      <c r="D56" s="621"/>
      <c r="E56" s="621"/>
      <c r="F56" s="662"/>
      <c r="G56" s="853" t="s">
        <v>3</v>
      </c>
      <c r="H56" s="7"/>
      <c r="I56" s="7"/>
      <c r="J56" s="7"/>
    </row>
    <row r="57" spans="1:10" ht="30" customHeight="1">
      <c r="A57" s="47"/>
      <c r="B57" s="50"/>
      <c r="C57" s="181" t="s">
        <v>325</v>
      </c>
      <c r="D57" s="623">
        <v>0</v>
      </c>
      <c r="E57" s="623">
        <v>0</v>
      </c>
      <c r="F57" s="659">
        <f>D57-E57</f>
        <v>0</v>
      </c>
      <c r="G57" s="854" t="s">
        <v>3</v>
      </c>
      <c r="H57" s="7"/>
      <c r="I57" s="7"/>
      <c r="J57" s="7"/>
    </row>
    <row r="58" spans="1:10" ht="21" customHeight="1">
      <c r="A58" s="44"/>
      <c r="B58" s="49"/>
      <c r="C58" s="176">
        <v>5222</v>
      </c>
      <c r="D58" s="620"/>
      <c r="E58" s="620"/>
      <c r="F58" s="653"/>
      <c r="G58" s="859" t="s">
        <v>3</v>
      </c>
      <c r="H58" s="7"/>
      <c r="I58" s="7"/>
      <c r="J58" s="7"/>
    </row>
    <row r="59" spans="1:10" ht="30" customHeight="1">
      <c r="A59" s="44"/>
      <c r="B59" s="49"/>
      <c r="C59" s="230" t="s">
        <v>326</v>
      </c>
      <c r="D59" s="625">
        <v>0</v>
      </c>
      <c r="E59" s="625">
        <v>0</v>
      </c>
      <c r="F59" s="661">
        <f>D59-E59</f>
        <v>0</v>
      </c>
      <c r="G59" s="856" t="s">
        <v>3</v>
      </c>
      <c r="H59" s="7"/>
      <c r="I59" s="7"/>
      <c r="J59" s="7"/>
    </row>
    <row r="60" spans="1:10" ht="22.5" customHeight="1">
      <c r="A60" s="44"/>
      <c r="B60" s="49"/>
      <c r="C60" s="176">
        <v>5223</v>
      </c>
      <c r="D60" s="620"/>
      <c r="E60" s="620"/>
      <c r="F60" s="653"/>
      <c r="G60" s="741" t="s">
        <v>3</v>
      </c>
      <c r="H60" s="7"/>
      <c r="I60" s="7"/>
      <c r="J60" s="7"/>
    </row>
    <row r="61" spans="1:10" ht="30" customHeight="1">
      <c r="A61" s="44"/>
      <c r="B61" s="49"/>
      <c r="C61" s="174" t="s">
        <v>147</v>
      </c>
      <c r="D61" s="619">
        <v>0</v>
      </c>
      <c r="E61" s="619">
        <v>0</v>
      </c>
      <c r="F61" s="660">
        <f>D61-E61</f>
        <v>0</v>
      </c>
      <c r="G61" s="855" t="s">
        <v>3</v>
      </c>
      <c r="H61" s="7"/>
      <c r="I61" s="7"/>
      <c r="J61" s="7"/>
    </row>
    <row r="62" spans="1:10" ht="22.5" customHeight="1">
      <c r="A62" s="44"/>
      <c r="B62" s="49"/>
      <c r="C62" s="176">
        <v>5224</v>
      </c>
      <c r="D62" s="620"/>
      <c r="E62" s="620"/>
      <c r="F62" s="653"/>
      <c r="G62" s="741"/>
      <c r="H62" s="7"/>
      <c r="I62" s="7"/>
      <c r="J62" s="7"/>
    </row>
    <row r="63" spans="1:10" ht="30" customHeight="1">
      <c r="A63" s="44"/>
      <c r="B63" s="55"/>
      <c r="C63" s="882" t="s">
        <v>1014</v>
      </c>
      <c r="D63" s="619">
        <v>0</v>
      </c>
      <c r="E63" s="619">
        <v>0</v>
      </c>
      <c r="F63" s="660">
        <f>D63-E63</f>
        <v>0</v>
      </c>
      <c r="G63" s="855"/>
      <c r="H63" s="7"/>
      <c r="I63" s="7"/>
      <c r="J63" s="7"/>
    </row>
    <row r="64" spans="1:10" ht="30" customHeight="1">
      <c r="A64" s="44"/>
      <c r="B64" s="51">
        <v>5230</v>
      </c>
      <c r="C64" s="176"/>
      <c r="D64" s="620"/>
      <c r="E64" s="620"/>
      <c r="F64" s="653"/>
      <c r="G64" s="741"/>
      <c r="H64" s="7"/>
      <c r="I64" s="7"/>
      <c r="J64" s="7"/>
    </row>
    <row r="65" spans="1:10" ht="30" customHeight="1">
      <c r="A65" s="62"/>
      <c r="B65" s="52" t="s">
        <v>204</v>
      </c>
      <c r="C65" s="174"/>
      <c r="D65" s="619">
        <f>D67+D69+D72</f>
        <v>0</v>
      </c>
      <c r="E65" s="619">
        <f>E67+E69+E72</f>
        <v>0</v>
      </c>
      <c r="F65" s="660">
        <f>D65-E65</f>
        <v>0</v>
      </c>
      <c r="G65" s="855"/>
      <c r="H65" s="7"/>
      <c r="I65" s="7"/>
      <c r="J65" s="7"/>
    </row>
    <row r="66" spans="1:10" ht="25.5" customHeight="1">
      <c r="A66" s="62"/>
      <c r="B66" s="49"/>
      <c r="C66" s="176">
        <v>5231</v>
      </c>
      <c r="D66" s="620"/>
      <c r="E66" s="620"/>
      <c r="F66" s="653"/>
      <c r="G66" s="741"/>
      <c r="H66" s="7"/>
      <c r="I66" s="7"/>
      <c r="J66" s="7"/>
    </row>
    <row r="67" spans="1:10" ht="30" customHeight="1">
      <c r="A67" s="62"/>
      <c r="B67" s="49"/>
      <c r="C67" s="180" t="s">
        <v>16</v>
      </c>
      <c r="D67" s="619">
        <v>0</v>
      </c>
      <c r="E67" s="619">
        <v>0</v>
      </c>
      <c r="F67" s="660">
        <f>D67-E67</f>
        <v>0</v>
      </c>
      <c r="G67" s="855"/>
      <c r="H67" s="7"/>
      <c r="I67" s="7"/>
      <c r="J67" s="7"/>
    </row>
    <row r="68" spans="1:10" ht="25.5" customHeight="1">
      <c r="A68" s="62"/>
      <c r="B68" s="49"/>
      <c r="C68" s="176">
        <v>5232</v>
      </c>
      <c r="D68" s="620"/>
      <c r="E68" s="620"/>
      <c r="F68" s="653"/>
      <c r="G68" s="741"/>
      <c r="H68" s="7"/>
      <c r="I68" s="7"/>
      <c r="J68" s="7"/>
    </row>
    <row r="69" spans="1:10" ht="30" customHeight="1">
      <c r="A69" s="62"/>
      <c r="B69" s="49"/>
      <c r="C69" s="176" t="s">
        <v>17</v>
      </c>
      <c r="D69" s="620">
        <v>0</v>
      </c>
      <c r="E69" s="620">
        <v>0</v>
      </c>
      <c r="F69" s="653">
        <f>D69-E69</f>
        <v>0</v>
      </c>
      <c r="G69" s="741"/>
      <c r="H69" s="7"/>
      <c r="I69" s="7"/>
      <c r="J69" s="7"/>
    </row>
    <row r="70" spans="1:10" ht="30" customHeight="1">
      <c r="A70" s="62"/>
      <c r="B70" s="49"/>
      <c r="C70" s="176"/>
      <c r="D70" s="620"/>
      <c r="E70" s="620"/>
      <c r="F70" s="653"/>
      <c r="G70" s="852"/>
      <c r="H70" s="7"/>
      <c r="I70" s="7"/>
      <c r="J70" s="7"/>
    </row>
    <row r="71" spans="1:10" ht="24" customHeight="1">
      <c r="A71" s="62"/>
      <c r="B71" s="49"/>
      <c r="C71" s="178">
        <v>5233</v>
      </c>
      <c r="D71" s="621"/>
      <c r="E71" s="621"/>
      <c r="F71" s="662"/>
      <c r="G71" s="853" t="s">
        <v>3</v>
      </c>
      <c r="H71" s="7"/>
      <c r="I71" s="7"/>
      <c r="J71" s="7"/>
    </row>
    <row r="72" spans="1:10" ht="30" customHeight="1">
      <c r="A72" s="62"/>
      <c r="B72" s="49"/>
      <c r="C72" s="176" t="s">
        <v>18</v>
      </c>
      <c r="D72" s="620">
        <v>0</v>
      </c>
      <c r="E72" s="620">
        <v>0</v>
      </c>
      <c r="F72" s="653">
        <f>D72-E72</f>
        <v>0</v>
      </c>
      <c r="G72" s="851"/>
      <c r="H72" s="7"/>
      <c r="I72" s="7"/>
      <c r="J72" s="7"/>
    </row>
    <row r="73" spans="1:10" ht="30" customHeight="1">
      <c r="A73" s="47"/>
      <c r="B73" s="50"/>
      <c r="C73" s="181"/>
      <c r="D73" s="623"/>
      <c r="E73" s="623"/>
      <c r="F73" s="659"/>
      <c r="G73" s="854"/>
      <c r="H73" s="7"/>
      <c r="I73" s="7"/>
      <c r="J73" s="7"/>
    </row>
    <row r="74" spans="1:10" ht="30" customHeight="1">
      <c r="A74" s="44"/>
      <c r="B74" s="175">
        <v>5240</v>
      </c>
      <c r="C74" s="176"/>
      <c r="D74" s="620"/>
      <c r="E74" s="620"/>
      <c r="F74" s="653"/>
      <c r="G74" s="741"/>
      <c r="H74" s="7"/>
      <c r="I74" s="7"/>
      <c r="J74" s="7"/>
    </row>
    <row r="75" spans="1:10" ht="30" customHeight="1">
      <c r="A75" s="44"/>
      <c r="B75" s="52" t="s">
        <v>331</v>
      </c>
      <c r="C75" s="230"/>
      <c r="D75" s="625">
        <f>SUM(D77)</f>
        <v>0</v>
      </c>
      <c r="E75" s="625">
        <f>SUM(E77)</f>
        <v>0</v>
      </c>
      <c r="F75" s="661">
        <f>SUM(F77)</f>
        <v>0</v>
      </c>
      <c r="G75" s="856"/>
      <c r="H75" s="7"/>
      <c r="I75" s="7"/>
      <c r="J75" s="7"/>
    </row>
    <row r="76" spans="1:10" ht="30" customHeight="1">
      <c r="A76" s="44"/>
      <c r="B76" s="179"/>
      <c r="C76" s="176">
        <v>5241</v>
      </c>
      <c r="D76" s="620"/>
      <c r="E76" s="620"/>
      <c r="F76" s="653"/>
      <c r="G76" s="741"/>
      <c r="H76" s="7"/>
      <c r="I76" s="7"/>
      <c r="J76" s="7"/>
    </row>
    <row r="77" spans="1:10" ht="30" customHeight="1">
      <c r="A77" s="295"/>
      <c r="B77" s="297"/>
      <c r="C77" s="327" t="s">
        <v>332</v>
      </c>
      <c r="D77" s="625">
        <v>0</v>
      </c>
      <c r="E77" s="625">
        <v>0</v>
      </c>
      <c r="F77" s="661">
        <f>D77-E77</f>
        <v>0</v>
      </c>
      <c r="G77" s="860"/>
      <c r="H77" s="7"/>
      <c r="I77" s="7"/>
      <c r="J77" s="7"/>
    </row>
    <row r="78" spans="1:10" ht="30" customHeight="1">
      <c r="A78" s="46">
        <v>5300</v>
      </c>
      <c r="B78" s="49"/>
      <c r="C78" s="176"/>
      <c r="D78" s="620"/>
      <c r="E78" s="620"/>
      <c r="F78" s="653"/>
      <c r="G78" s="1341" t="s">
        <v>3</v>
      </c>
      <c r="H78" s="7"/>
      <c r="I78" s="7"/>
      <c r="J78" s="7"/>
    </row>
    <row r="79" spans="1:10" ht="30" customHeight="1">
      <c r="A79" s="123" t="s">
        <v>207</v>
      </c>
      <c r="B79" s="55"/>
      <c r="C79" s="174"/>
      <c r="D79" s="619">
        <f>D81+D88+D95</f>
        <v>0</v>
      </c>
      <c r="E79" s="619">
        <f>E81+E88+E95</f>
        <v>0</v>
      </c>
      <c r="F79" s="660">
        <f>D79-E79</f>
        <v>0</v>
      </c>
      <c r="G79" s="1342"/>
      <c r="H79" s="7"/>
      <c r="I79" s="7"/>
      <c r="J79" s="7"/>
    </row>
    <row r="80" spans="1:10" ht="25.5" customHeight="1">
      <c r="A80" s="46"/>
      <c r="B80" s="51">
        <v>5310</v>
      </c>
      <c r="C80" s="175"/>
      <c r="D80" s="624"/>
      <c r="E80" s="624"/>
      <c r="F80" s="624"/>
      <c r="G80" s="741"/>
      <c r="H80" s="7"/>
      <c r="I80" s="7"/>
      <c r="J80" s="7"/>
    </row>
    <row r="81" spans="1:10" ht="36.75" customHeight="1">
      <c r="A81" s="44"/>
      <c r="B81" s="52" t="s">
        <v>208</v>
      </c>
      <c r="C81" s="174"/>
      <c r="D81" s="619">
        <f>D83+D85</f>
        <v>0</v>
      </c>
      <c r="E81" s="619">
        <f>E83+E85</f>
        <v>0</v>
      </c>
      <c r="F81" s="660">
        <f>D81-E81</f>
        <v>0</v>
      </c>
      <c r="G81" s="855"/>
      <c r="H81" s="7"/>
      <c r="I81" s="7"/>
      <c r="J81" s="7"/>
    </row>
    <row r="82" spans="1:10" ht="25.5" customHeight="1">
      <c r="A82" s="44"/>
      <c r="B82" s="49"/>
      <c r="C82" s="175">
        <v>5311</v>
      </c>
      <c r="D82" s="620"/>
      <c r="E82" s="620"/>
      <c r="F82" s="653"/>
      <c r="G82" s="741" t="s">
        <v>3</v>
      </c>
      <c r="H82" s="7"/>
      <c r="I82" s="7"/>
      <c r="J82" s="7"/>
    </row>
    <row r="83" spans="1:7" ht="29.25" customHeight="1">
      <c r="A83" s="44"/>
      <c r="B83" s="49"/>
      <c r="C83" s="174" t="s">
        <v>19</v>
      </c>
      <c r="D83" s="619">
        <v>0</v>
      </c>
      <c r="E83" s="619">
        <v>0</v>
      </c>
      <c r="F83" s="660">
        <f>D83-E83</f>
        <v>0</v>
      </c>
      <c r="G83" s="855" t="s">
        <v>3</v>
      </c>
    </row>
    <row r="84" spans="1:10" ht="20.25" customHeight="1">
      <c r="A84" s="44"/>
      <c r="B84" s="49"/>
      <c r="C84" s="175">
        <v>5312</v>
      </c>
      <c r="D84" s="620"/>
      <c r="E84" s="620"/>
      <c r="F84" s="653"/>
      <c r="G84" s="741" t="s">
        <v>3</v>
      </c>
      <c r="H84" s="7"/>
      <c r="I84" s="7"/>
      <c r="J84" s="7"/>
    </row>
    <row r="85" spans="1:10" ht="30" customHeight="1">
      <c r="A85" s="44"/>
      <c r="B85" s="49"/>
      <c r="C85" s="176" t="s">
        <v>20</v>
      </c>
      <c r="D85" s="620">
        <v>0</v>
      </c>
      <c r="E85" s="620">
        <v>0</v>
      </c>
      <c r="F85" s="653">
        <f>D85-E85</f>
        <v>0</v>
      </c>
      <c r="G85" s="741"/>
      <c r="H85" s="7"/>
      <c r="I85" s="7"/>
      <c r="J85" s="7"/>
    </row>
    <row r="86" spans="1:10" ht="30" customHeight="1">
      <c r="A86" s="44"/>
      <c r="B86" s="55"/>
      <c r="C86" s="174"/>
      <c r="D86" s="619"/>
      <c r="E86" s="619"/>
      <c r="F86" s="660"/>
      <c r="G86" s="855"/>
      <c r="H86" s="7"/>
      <c r="I86" s="7"/>
      <c r="J86" s="7"/>
    </row>
    <row r="87" spans="1:10" ht="23.25" customHeight="1">
      <c r="A87" s="44"/>
      <c r="B87" s="51">
        <v>5320</v>
      </c>
      <c r="C87" s="176"/>
      <c r="D87" s="620"/>
      <c r="E87" s="620"/>
      <c r="F87" s="653"/>
      <c r="G87" s="741"/>
      <c r="H87" s="7"/>
      <c r="I87" s="7"/>
      <c r="J87" s="7"/>
    </row>
    <row r="88" spans="1:10" ht="33.75" customHeight="1">
      <c r="A88" s="62"/>
      <c r="B88" s="49" t="s">
        <v>119</v>
      </c>
      <c r="C88" s="174"/>
      <c r="D88" s="619">
        <f>D90+D93</f>
        <v>0</v>
      </c>
      <c r="E88" s="619">
        <f>E90+E93</f>
        <v>0</v>
      </c>
      <c r="F88" s="660">
        <f>D88-E88</f>
        <v>0</v>
      </c>
      <c r="G88" s="855"/>
      <c r="H88" s="7"/>
      <c r="I88" s="7"/>
      <c r="J88" s="7"/>
    </row>
    <row r="89" spans="1:10" ht="21.75" customHeight="1">
      <c r="A89" s="44"/>
      <c r="B89" s="49"/>
      <c r="C89" s="175">
        <v>5321</v>
      </c>
      <c r="D89" s="620"/>
      <c r="E89" s="620"/>
      <c r="F89" s="653"/>
      <c r="G89" s="741" t="s">
        <v>3</v>
      </c>
      <c r="H89" s="7"/>
      <c r="I89" s="7"/>
      <c r="J89" s="7"/>
    </row>
    <row r="90" spans="1:10" ht="29.25" customHeight="1">
      <c r="A90" s="44"/>
      <c r="B90" s="49"/>
      <c r="C90" s="176" t="s">
        <v>21</v>
      </c>
      <c r="D90" s="620">
        <v>0</v>
      </c>
      <c r="E90" s="620">
        <v>0</v>
      </c>
      <c r="F90" s="653">
        <f>D90-E90</f>
        <v>0</v>
      </c>
      <c r="G90" s="741"/>
      <c r="H90" s="7"/>
      <c r="I90" s="7"/>
      <c r="J90" s="7"/>
    </row>
    <row r="91" spans="1:10" ht="21.75" customHeight="1">
      <c r="A91" s="44"/>
      <c r="B91" s="49"/>
      <c r="C91" s="174"/>
      <c r="D91" s="619"/>
      <c r="E91" s="619"/>
      <c r="F91" s="660"/>
      <c r="G91" s="855"/>
      <c r="H91" s="7"/>
      <c r="I91" s="7"/>
      <c r="J91" s="7"/>
    </row>
    <row r="92" spans="1:10" ht="24" customHeight="1">
      <c r="A92" s="44"/>
      <c r="B92" s="49"/>
      <c r="C92" s="175">
        <v>5322</v>
      </c>
      <c r="D92" s="620"/>
      <c r="E92" s="620"/>
      <c r="F92" s="653"/>
      <c r="G92" s="741" t="s">
        <v>3</v>
      </c>
      <c r="H92" s="7"/>
      <c r="I92" s="7"/>
      <c r="J92" s="7"/>
    </row>
    <row r="93" spans="1:10" ht="34.5" customHeight="1">
      <c r="A93" s="295"/>
      <c r="B93" s="296"/>
      <c r="C93" s="297" t="s">
        <v>22</v>
      </c>
      <c r="D93" s="625">
        <v>0</v>
      </c>
      <c r="E93" s="625">
        <v>0</v>
      </c>
      <c r="F93" s="661">
        <f>D93-E93</f>
        <v>0</v>
      </c>
      <c r="G93" s="856" t="s">
        <v>3</v>
      </c>
      <c r="H93" s="7"/>
      <c r="I93" s="7"/>
      <c r="J93" s="7"/>
    </row>
    <row r="94" spans="1:10" ht="21.75" customHeight="1">
      <c r="A94" s="62"/>
      <c r="B94" s="49">
        <v>5330</v>
      </c>
      <c r="C94" s="176"/>
      <c r="D94" s="620"/>
      <c r="E94" s="620"/>
      <c r="F94" s="653"/>
      <c r="G94" s="741"/>
      <c r="H94" s="7"/>
      <c r="I94" s="7"/>
      <c r="J94" s="7"/>
    </row>
    <row r="95" spans="1:10" ht="31.5" customHeight="1">
      <c r="A95" s="62"/>
      <c r="B95" s="52" t="s">
        <v>209</v>
      </c>
      <c r="C95" s="174"/>
      <c r="D95" s="619">
        <f>SUM(D99,D97)</f>
        <v>0</v>
      </c>
      <c r="E95" s="619">
        <f>SUM(E99,E97)</f>
        <v>0</v>
      </c>
      <c r="F95" s="660">
        <f>D95-E95</f>
        <v>0</v>
      </c>
      <c r="G95" s="855"/>
      <c r="H95" s="7"/>
      <c r="I95" s="7"/>
      <c r="J95" s="7"/>
    </row>
    <row r="96" spans="1:10" ht="30" customHeight="1">
      <c r="A96" s="44"/>
      <c r="B96" s="52"/>
      <c r="C96" s="176">
        <v>5331</v>
      </c>
      <c r="D96" s="620"/>
      <c r="E96" s="620"/>
      <c r="F96" s="653"/>
      <c r="G96" s="741" t="s">
        <v>3</v>
      </c>
      <c r="H96" s="7"/>
      <c r="I96" s="7"/>
      <c r="J96" s="7"/>
    </row>
    <row r="97" spans="1:10" ht="30" customHeight="1">
      <c r="A97" s="62"/>
      <c r="B97" s="52"/>
      <c r="C97" s="180" t="s">
        <v>23</v>
      </c>
      <c r="D97" s="619">
        <v>0</v>
      </c>
      <c r="E97" s="619">
        <v>0</v>
      </c>
      <c r="F97" s="660">
        <f>D97-E97</f>
        <v>0</v>
      </c>
      <c r="G97" s="855" t="s">
        <v>3</v>
      </c>
      <c r="H97" s="7"/>
      <c r="I97" s="7"/>
      <c r="J97" s="7"/>
    </row>
    <row r="98" spans="1:10" ht="34.5" customHeight="1">
      <c r="A98" s="44"/>
      <c r="B98" s="49"/>
      <c r="C98" s="179" t="s">
        <v>24</v>
      </c>
      <c r="D98" s="620"/>
      <c r="E98" s="620"/>
      <c r="F98" s="653"/>
      <c r="G98" s="741" t="s">
        <v>3</v>
      </c>
      <c r="H98" s="7"/>
      <c r="I98" s="7"/>
      <c r="J98" s="7"/>
    </row>
    <row r="99" spans="1:10" ht="30" customHeight="1">
      <c r="A99" s="44"/>
      <c r="B99" s="49"/>
      <c r="C99" s="179" t="s">
        <v>25</v>
      </c>
      <c r="D99" s="620">
        <v>0</v>
      </c>
      <c r="E99" s="620">
        <v>0</v>
      </c>
      <c r="F99" s="653">
        <f>D99-E99</f>
        <v>0</v>
      </c>
      <c r="G99" s="741"/>
      <c r="H99" s="7"/>
      <c r="I99" s="7"/>
      <c r="J99" s="7"/>
    </row>
    <row r="100" spans="1:10" ht="30" customHeight="1">
      <c r="A100" s="68"/>
      <c r="B100" s="69"/>
      <c r="C100" s="216"/>
      <c r="D100" s="627"/>
      <c r="E100" s="627"/>
      <c r="F100" s="861"/>
      <c r="G100" s="855"/>
      <c r="H100" s="7"/>
      <c r="I100" s="7"/>
      <c r="J100" s="7"/>
    </row>
    <row r="101" spans="1:10" ht="21" customHeight="1">
      <c r="A101" s="46">
        <v>5400</v>
      </c>
      <c r="B101" s="49"/>
      <c r="C101" s="176"/>
      <c r="D101" s="620"/>
      <c r="E101" s="620"/>
      <c r="F101" s="653"/>
      <c r="G101" s="741"/>
      <c r="H101" s="7"/>
      <c r="I101" s="7"/>
      <c r="J101" s="7"/>
    </row>
    <row r="102" spans="1:10" ht="33" customHeight="1">
      <c r="A102" s="123" t="s">
        <v>210</v>
      </c>
      <c r="B102" s="55"/>
      <c r="C102" s="174"/>
      <c r="D102" s="619">
        <f>D104+D112</f>
        <v>749700</v>
      </c>
      <c r="E102" s="619">
        <f>E104+E112</f>
        <v>810000</v>
      </c>
      <c r="F102" s="660">
        <f>D102-E102</f>
        <v>-60300</v>
      </c>
      <c r="G102" s="855"/>
      <c r="H102" s="7"/>
      <c r="I102" s="7"/>
      <c r="J102" s="7"/>
    </row>
    <row r="103" spans="1:10" ht="20.25" customHeight="1">
      <c r="A103" s="44"/>
      <c r="B103" s="51">
        <v>5410</v>
      </c>
      <c r="C103" s="176"/>
      <c r="D103" s="620"/>
      <c r="E103" s="620"/>
      <c r="F103" s="653"/>
      <c r="G103" s="741"/>
      <c r="H103" s="7"/>
      <c r="I103" s="7"/>
      <c r="J103" s="7"/>
    </row>
    <row r="104" spans="1:10" ht="30" customHeight="1">
      <c r="A104" s="62"/>
      <c r="B104" s="52" t="s">
        <v>211</v>
      </c>
      <c r="C104" s="176"/>
      <c r="D104" s="620">
        <f>D106</f>
        <v>712086</v>
      </c>
      <c r="E104" s="620">
        <f>E106</f>
        <v>750000</v>
      </c>
      <c r="F104" s="653">
        <f>D104-E104</f>
        <v>-37914</v>
      </c>
      <c r="G104" s="741"/>
      <c r="H104" s="7"/>
      <c r="I104" s="7"/>
      <c r="J104" s="7"/>
    </row>
    <row r="105" spans="1:10" ht="24" customHeight="1">
      <c r="A105" s="44"/>
      <c r="B105" s="49"/>
      <c r="C105" s="175">
        <v>5411</v>
      </c>
      <c r="D105" s="620"/>
      <c r="E105" s="620"/>
      <c r="F105" s="653"/>
      <c r="G105" s="741" t="s">
        <v>3</v>
      </c>
      <c r="H105" s="7"/>
      <c r="I105" s="7"/>
      <c r="J105" s="7"/>
    </row>
    <row r="106" spans="1:10" ht="30" customHeight="1">
      <c r="A106" s="62"/>
      <c r="B106" s="49"/>
      <c r="C106" s="176" t="s">
        <v>327</v>
      </c>
      <c r="D106" s="620">
        <v>712086</v>
      </c>
      <c r="E106" s="620">
        <v>750000</v>
      </c>
      <c r="F106" s="653">
        <f>D106-E106</f>
        <v>-37914</v>
      </c>
      <c r="G106" s="741" t="s">
        <v>959</v>
      </c>
      <c r="H106" s="7"/>
      <c r="I106" s="7"/>
      <c r="J106" s="7"/>
    </row>
    <row r="107" spans="1:10" ht="27" customHeight="1">
      <c r="A107" s="44"/>
      <c r="B107" s="49"/>
      <c r="C107" s="176"/>
      <c r="D107" s="620"/>
      <c r="E107" s="620"/>
      <c r="F107" s="653"/>
      <c r="G107" s="741" t="s">
        <v>1265</v>
      </c>
      <c r="H107" s="7"/>
      <c r="I107" s="7"/>
      <c r="J107" s="7"/>
    </row>
    <row r="108" spans="1:10" ht="24" customHeight="1">
      <c r="A108" s="44"/>
      <c r="B108" s="49"/>
      <c r="C108" s="176"/>
      <c r="D108" s="620"/>
      <c r="E108" s="620"/>
      <c r="F108" s="653"/>
      <c r="G108" s="741" t="s">
        <v>958</v>
      </c>
      <c r="H108" s="7"/>
      <c r="I108" s="7"/>
      <c r="J108" s="7"/>
    </row>
    <row r="109" spans="1:10" ht="24" customHeight="1">
      <c r="A109" s="44"/>
      <c r="B109" s="49"/>
      <c r="C109" s="176"/>
      <c r="D109" s="620"/>
      <c r="E109" s="620"/>
      <c r="F109" s="653"/>
      <c r="G109" s="741" t="s">
        <v>1264</v>
      </c>
      <c r="H109" s="7"/>
      <c r="I109" s="7"/>
      <c r="J109" s="7"/>
    </row>
    <row r="110" spans="1:10" ht="24.75" customHeight="1">
      <c r="A110" s="44"/>
      <c r="B110" s="55"/>
      <c r="C110" s="174"/>
      <c r="D110" s="619"/>
      <c r="E110" s="619"/>
      <c r="F110" s="660"/>
      <c r="G110" s="855" t="s">
        <v>1266</v>
      </c>
      <c r="H110" s="7"/>
      <c r="I110" s="7"/>
      <c r="J110" s="7"/>
    </row>
    <row r="111" spans="1:10" ht="18.75" customHeight="1">
      <c r="A111" s="44"/>
      <c r="B111" s="49">
        <v>5420</v>
      </c>
      <c r="C111" s="175"/>
      <c r="D111" s="620"/>
      <c r="E111" s="620"/>
      <c r="F111" s="653"/>
      <c r="G111" s="741"/>
      <c r="H111" s="7"/>
      <c r="I111" s="7"/>
      <c r="J111" s="7"/>
    </row>
    <row r="112" spans="1:10" ht="35.25" customHeight="1">
      <c r="A112" s="62"/>
      <c r="B112" s="96" t="s">
        <v>212</v>
      </c>
      <c r="C112" s="174"/>
      <c r="D112" s="619">
        <f>D114</f>
        <v>37614</v>
      </c>
      <c r="E112" s="619">
        <f>E114</f>
        <v>60000</v>
      </c>
      <c r="F112" s="660">
        <f>D112-E112</f>
        <v>-22386</v>
      </c>
      <c r="G112" s="855"/>
      <c r="H112" s="7"/>
      <c r="I112" s="7"/>
      <c r="J112" s="7"/>
    </row>
    <row r="113" spans="1:10" ht="30" customHeight="1">
      <c r="A113" s="44"/>
      <c r="B113" s="49"/>
      <c r="C113" s="176">
        <v>5421</v>
      </c>
      <c r="D113" s="620"/>
      <c r="E113" s="620"/>
      <c r="F113" s="653"/>
      <c r="G113" s="741" t="s">
        <v>1195</v>
      </c>
      <c r="H113" s="7"/>
      <c r="I113" s="7"/>
      <c r="J113" s="7"/>
    </row>
    <row r="114" spans="1:10" ht="30" customHeight="1">
      <c r="A114" s="44"/>
      <c r="B114" s="49"/>
      <c r="C114" s="176" t="s">
        <v>26</v>
      </c>
      <c r="D114" s="620">
        <v>37614</v>
      </c>
      <c r="E114" s="620">
        <v>60000</v>
      </c>
      <c r="F114" s="653">
        <f>D114-E114</f>
        <v>-22386</v>
      </c>
      <c r="G114" s="741" t="s">
        <v>1267</v>
      </c>
      <c r="H114" s="7"/>
      <c r="I114" s="7"/>
      <c r="J114" s="7"/>
    </row>
    <row r="115" spans="1:10" ht="30" customHeight="1">
      <c r="A115" s="44"/>
      <c r="B115" s="49"/>
      <c r="C115" s="176"/>
      <c r="D115" s="620"/>
      <c r="E115" s="620"/>
      <c r="F115" s="653"/>
      <c r="G115" s="741" t="s">
        <v>958</v>
      </c>
      <c r="H115" s="7"/>
      <c r="I115" s="7"/>
      <c r="J115" s="7"/>
    </row>
    <row r="116" spans="1:10" ht="30" customHeight="1">
      <c r="A116" s="44"/>
      <c r="B116" s="49"/>
      <c r="C116" s="176"/>
      <c r="D116" s="620"/>
      <c r="E116" s="620"/>
      <c r="F116" s="653"/>
      <c r="G116" s="741" t="s">
        <v>1268</v>
      </c>
      <c r="H116" s="7"/>
      <c r="I116" s="7"/>
      <c r="J116" s="7"/>
    </row>
    <row r="117" spans="1:10" ht="30" customHeight="1">
      <c r="A117" s="44"/>
      <c r="B117" s="49"/>
      <c r="C117" s="176"/>
      <c r="D117" s="620"/>
      <c r="E117" s="620"/>
      <c r="F117" s="653"/>
      <c r="G117" s="741" t="s">
        <v>1269</v>
      </c>
      <c r="H117" s="7"/>
      <c r="I117" s="7"/>
      <c r="J117" s="7"/>
    </row>
    <row r="118" spans="1:10" ht="28.5" customHeight="1">
      <c r="A118" s="359">
        <v>1200</v>
      </c>
      <c r="B118" s="360"/>
      <c r="C118" s="361"/>
      <c r="D118" s="628"/>
      <c r="E118" s="628"/>
      <c r="F118" s="862"/>
      <c r="G118" s="863"/>
      <c r="H118" s="7"/>
      <c r="I118" s="7"/>
      <c r="J118" s="7"/>
    </row>
    <row r="119" spans="1:10" ht="33" customHeight="1">
      <c r="A119" s="123" t="s">
        <v>213</v>
      </c>
      <c r="B119" s="296"/>
      <c r="C119" s="230"/>
      <c r="D119" s="625">
        <f>D121+D130+D125</f>
        <v>0</v>
      </c>
      <c r="E119" s="625">
        <f>E121+E130+E125</f>
        <v>0</v>
      </c>
      <c r="F119" s="661">
        <f>D119-E119</f>
        <v>0</v>
      </c>
      <c r="G119" s="856"/>
      <c r="H119" s="7"/>
      <c r="I119" s="7"/>
      <c r="J119" s="7"/>
    </row>
    <row r="120" spans="1:10" ht="33" customHeight="1">
      <c r="A120" s="44"/>
      <c r="B120" s="49">
        <v>1220</v>
      </c>
      <c r="C120" s="176"/>
      <c r="D120" s="620"/>
      <c r="E120" s="620"/>
      <c r="F120" s="653"/>
      <c r="G120" s="741"/>
      <c r="H120" s="7"/>
      <c r="I120" s="7"/>
      <c r="J120" s="7"/>
    </row>
    <row r="121" spans="1:10" ht="33" customHeight="1">
      <c r="A121" s="62"/>
      <c r="B121" s="96" t="s">
        <v>214</v>
      </c>
      <c r="C121" s="174"/>
      <c r="D121" s="619">
        <f>SUM(D123)</f>
        <v>0</v>
      </c>
      <c r="E121" s="619">
        <f>SUM(E123)</f>
        <v>0</v>
      </c>
      <c r="F121" s="660">
        <f>D121-E121</f>
        <v>0</v>
      </c>
      <c r="G121" s="855"/>
      <c r="H121" s="7"/>
      <c r="I121" s="7"/>
      <c r="J121" s="7"/>
    </row>
    <row r="122" spans="1:10" ht="33" customHeight="1">
      <c r="A122" s="44"/>
      <c r="B122" s="49"/>
      <c r="C122" s="176">
        <v>1221</v>
      </c>
      <c r="D122" s="620"/>
      <c r="E122" s="620"/>
      <c r="F122" s="653"/>
      <c r="G122" s="741"/>
      <c r="H122" s="7"/>
      <c r="I122" s="7"/>
      <c r="J122" s="7"/>
    </row>
    <row r="123" spans="1:10" ht="33" customHeight="1">
      <c r="A123" s="62"/>
      <c r="B123" s="55"/>
      <c r="C123" s="180" t="s">
        <v>27</v>
      </c>
      <c r="D123" s="619">
        <v>0</v>
      </c>
      <c r="E123" s="619">
        <v>0</v>
      </c>
      <c r="F123" s="660">
        <f>D123-E123</f>
        <v>0</v>
      </c>
      <c r="G123" s="855" t="s">
        <v>3</v>
      </c>
      <c r="H123" s="7"/>
      <c r="I123" s="7"/>
      <c r="J123" s="7"/>
    </row>
    <row r="124" spans="1:10" ht="28.5" customHeight="1">
      <c r="A124" s="44"/>
      <c r="B124" s="63">
        <v>1240</v>
      </c>
      <c r="C124" s="178"/>
      <c r="D124" s="621"/>
      <c r="E124" s="621"/>
      <c r="F124" s="662"/>
      <c r="G124" s="853"/>
      <c r="H124" s="7"/>
      <c r="I124" s="7"/>
      <c r="J124" s="7"/>
    </row>
    <row r="125" spans="1:10" ht="33" customHeight="1">
      <c r="A125" s="62"/>
      <c r="B125" s="52" t="s">
        <v>216</v>
      </c>
      <c r="C125" s="174"/>
      <c r="D125" s="619">
        <v>0</v>
      </c>
      <c r="E125" s="619">
        <v>0</v>
      </c>
      <c r="F125" s="660">
        <f>D125-E125</f>
        <v>0</v>
      </c>
      <c r="G125" s="855"/>
      <c r="H125" s="7"/>
      <c r="I125" s="7"/>
      <c r="J125" s="7"/>
    </row>
    <row r="126" spans="1:10" ht="33" customHeight="1">
      <c r="A126" s="44"/>
      <c r="B126" s="49"/>
      <c r="C126" s="176">
        <v>1242</v>
      </c>
      <c r="D126" s="620"/>
      <c r="E126" s="620"/>
      <c r="F126" s="653"/>
      <c r="G126" s="741"/>
      <c r="H126" s="7"/>
      <c r="I126" s="7"/>
      <c r="J126" s="7"/>
    </row>
    <row r="127" spans="1:10" ht="33" customHeight="1">
      <c r="A127" s="44"/>
      <c r="B127" s="49"/>
      <c r="C127" s="179" t="s">
        <v>28</v>
      </c>
      <c r="D127" s="620">
        <v>0</v>
      </c>
      <c r="E127" s="620">
        <v>0</v>
      </c>
      <c r="F127" s="653">
        <f>D127-E127</f>
        <v>0</v>
      </c>
      <c r="G127" s="741"/>
      <c r="H127" s="7"/>
      <c r="I127" s="7"/>
      <c r="J127" s="7"/>
    </row>
    <row r="128" spans="1:10" ht="33" customHeight="1">
      <c r="A128" s="44"/>
      <c r="B128" s="49"/>
      <c r="C128" s="179"/>
      <c r="D128" s="620"/>
      <c r="E128" s="620"/>
      <c r="F128" s="653"/>
      <c r="G128" s="742"/>
      <c r="H128" s="7"/>
      <c r="I128" s="7"/>
      <c r="J128" s="7"/>
    </row>
    <row r="129" spans="1:10" ht="21" customHeight="1">
      <c r="A129" s="62"/>
      <c r="B129" s="63">
        <v>1260</v>
      </c>
      <c r="C129" s="178"/>
      <c r="D129" s="621"/>
      <c r="E129" s="621"/>
      <c r="F129" s="662"/>
      <c r="G129" s="853"/>
      <c r="H129" s="7"/>
      <c r="I129" s="7"/>
      <c r="J129" s="7"/>
    </row>
    <row r="130" spans="1:10" ht="33" customHeight="1">
      <c r="A130" s="62"/>
      <c r="B130" s="52" t="s">
        <v>215</v>
      </c>
      <c r="C130" s="174"/>
      <c r="D130" s="619">
        <f>D132+D134+D136+D138</f>
        <v>0</v>
      </c>
      <c r="E130" s="619">
        <f>E132+E134+E136+E138</f>
        <v>0</v>
      </c>
      <c r="F130" s="660">
        <f>D130-E130+F136+F138</f>
        <v>0</v>
      </c>
      <c r="G130" s="855"/>
      <c r="H130" s="7"/>
      <c r="I130" s="7"/>
      <c r="J130" s="7"/>
    </row>
    <row r="131" spans="1:10" ht="24" customHeight="1">
      <c r="A131" s="44"/>
      <c r="B131" s="52"/>
      <c r="C131" s="176">
        <v>1262</v>
      </c>
      <c r="D131" s="620"/>
      <c r="E131" s="620"/>
      <c r="F131" s="653"/>
      <c r="G131" s="741"/>
      <c r="H131" s="7"/>
      <c r="I131" s="7"/>
      <c r="J131" s="7"/>
    </row>
    <row r="132" spans="1:10" ht="33" customHeight="1">
      <c r="A132" s="62"/>
      <c r="B132" s="52"/>
      <c r="C132" s="220" t="s">
        <v>29</v>
      </c>
      <c r="D132" s="622">
        <v>0</v>
      </c>
      <c r="E132" s="622">
        <v>0</v>
      </c>
      <c r="F132" s="658">
        <f>D132-E132</f>
        <v>0</v>
      </c>
      <c r="G132" s="864"/>
      <c r="H132" s="7"/>
      <c r="I132" s="7"/>
      <c r="J132" s="7"/>
    </row>
    <row r="133" spans="1:10" ht="33" customHeight="1">
      <c r="A133" s="44"/>
      <c r="B133" s="49"/>
      <c r="C133" s="176">
        <v>1263</v>
      </c>
      <c r="D133" s="620"/>
      <c r="E133" s="620"/>
      <c r="F133" s="653"/>
      <c r="G133" s="741" t="s">
        <v>3</v>
      </c>
      <c r="H133" s="7"/>
      <c r="I133" s="7"/>
      <c r="J133" s="7"/>
    </row>
    <row r="134" spans="1:10" ht="33" customHeight="1">
      <c r="A134" s="44"/>
      <c r="B134" s="49"/>
      <c r="C134" s="180" t="s">
        <v>30</v>
      </c>
      <c r="D134" s="619">
        <v>0</v>
      </c>
      <c r="E134" s="619">
        <v>0</v>
      </c>
      <c r="F134" s="660">
        <f>D134-E134</f>
        <v>0</v>
      </c>
      <c r="G134" s="855" t="s">
        <v>3</v>
      </c>
      <c r="H134" s="7"/>
      <c r="I134" s="7"/>
      <c r="J134" s="7"/>
    </row>
    <row r="135" spans="1:10" ht="33" customHeight="1">
      <c r="A135" s="44"/>
      <c r="B135" s="49"/>
      <c r="C135" s="179">
        <v>1264</v>
      </c>
      <c r="D135" s="620"/>
      <c r="E135" s="620"/>
      <c r="F135" s="653"/>
      <c r="G135" s="741"/>
      <c r="H135" s="7"/>
      <c r="I135" s="7"/>
      <c r="J135" s="7"/>
    </row>
    <row r="136" spans="1:10" ht="33" customHeight="1">
      <c r="A136" s="44"/>
      <c r="B136" s="49"/>
      <c r="C136" s="490" t="s">
        <v>872</v>
      </c>
      <c r="D136" s="619">
        <v>0</v>
      </c>
      <c r="E136" s="619">
        <v>0</v>
      </c>
      <c r="F136" s="660">
        <f>D136-E136</f>
        <v>0</v>
      </c>
      <c r="G136" s="855"/>
      <c r="H136" s="7"/>
      <c r="I136" s="7"/>
      <c r="J136" s="7"/>
    </row>
    <row r="137" spans="1:10" ht="33" customHeight="1">
      <c r="A137" s="44"/>
      <c r="B137" s="49"/>
      <c r="C137" s="179">
        <v>1265</v>
      </c>
      <c r="D137" s="620"/>
      <c r="E137" s="620"/>
      <c r="F137" s="653"/>
      <c r="G137" s="741"/>
      <c r="H137" s="7"/>
      <c r="I137" s="7"/>
      <c r="J137" s="7"/>
    </row>
    <row r="138" spans="1:10" ht="33" customHeight="1">
      <c r="A138" s="44"/>
      <c r="B138" s="49"/>
      <c r="C138" s="490" t="s">
        <v>333</v>
      </c>
      <c r="D138" s="620">
        <v>0</v>
      </c>
      <c r="E138" s="620">
        <v>0</v>
      </c>
      <c r="F138" s="660">
        <f>D138-E138</f>
        <v>0</v>
      </c>
      <c r="G138" s="741"/>
      <c r="H138" s="7"/>
      <c r="I138" s="7"/>
      <c r="J138" s="7"/>
    </row>
    <row r="139" spans="1:10" ht="26.25" customHeight="1">
      <c r="A139" s="362">
        <v>1300</v>
      </c>
      <c r="B139" s="363"/>
      <c r="C139" s="177"/>
      <c r="D139" s="629"/>
      <c r="E139" s="629"/>
      <c r="F139" s="629"/>
      <c r="G139" s="853"/>
      <c r="H139" s="7"/>
      <c r="I139" s="7"/>
      <c r="J139" s="7"/>
    </row>
    <row r="140" spans="1:10" ht="33" customHeight="1">
      <c r="A140" s="173" t="s">
        <v>330</v>
      </c>
      <c r="B140" s="57"/>
      <c r="C140" s="183"/>
      <c r="D140" s="630">
        <f>SUM(D142)</f>
        <v>0</v>
      </c>
      <c r="E140" s="630">
        <f>SUM(E142)</f>
        <v>0</v>
      </c>
      <c r="F140" s="660">
        <f>D140-E140</f>
        <v>0</v>
      </c>
      <c r="G140" s="855"/>
      <c r="H140" s="7"/>
      <c r="I140" s="7"/>
      <c r="J140" s="7"/>
    </row>
    <row r="141" spans="1:10" ht="24.75" customHeight="1">
      <c r="A141" s="46"/>
      <c r="B141" s="51">
        <v>1310</v>
      </c>
      <c r="C141" s="175"/>
      <c r="D141" s="631"/>
      <c r="E141" s="631"/>
      <c r="F141" s="624"/>
      <c r="G141" s="741"/>
      <c r="H141" s="7"/>
      <c r="I141" s="7"/>
      <c r="J141" s="7"/>
    </row>
    <row r="142" spans="1:7" ht="42" customHeight="1">
      <c r="A142" s="879"/>
      <c r="B142" s="96" t="s">
        <v>217</v>
      </c>
      <c r="C142" s="183"/>
      <c r="D142" s="681">
        <f>SUM(D146,D148,D144,D150)</f>
        <v>0</v>
      </c>
      <c r="E142" s="681">
        <f>SUM(E146,E148,E144,E150)</f>
        <v>0</v>
      </c>
      <c r="F142" s="660">
        <f>D142-E142</f>
        <v>0</v>
      </c>
      <c r="G142" s="855"/>
    </row>
    <row r="143" spans="1:7" ht="21" customHeight="1">
      <c r="A143" s="46"/>
      <c r="B143" s="53"/>
      <c r="C143" s="175">
        <v>1311</v>
      </c>
      <c r="D143" s="633"/>
      <c r="E143" s="633"/>
      <c r="F143" s="653"/>
      <c r="G143" s="741"/>
    </row>
    <row r="144" spans="1:7" ht="33" customHeight="1">
      <c r="A144" s="46"/>
      <c r="B144" s="53"/>
      <c r="C144" s="176" t="s">
        <v>31</v>
      </c>
      <c r="D144" s="634">
        <v>0</v>
      </c>
      <c r="E144" s="634">
        <v>0</v>
      </c>
      <c r="F144" s="681">
        <f>D144-E144</f>
        <v>0</v>
      </c>
      <c r="G144" s="855"/>
    </row>
    <row r="145" spans="1:7" ht="26.25" customHeight="1">
      <c r="A145" s="46"/>
      <c r="B145" s="51"/>
      <c r="C145" s="177">
        <v>1314</v>
      </c>
      <c r="D145" s="635"/>
      <c r="E145" s="635"/>
      <c r="F145" s="624"/>
      <c r="G145" s="865"/>
    </row>
    <row r="146" spans="1:7" ht="33" customHeight="1">
      <c r="A146" s="46"/>
      <c r="B146" s="51"/>
      <c r="C146" s="179" t="s">
        <v>32</v>
      </c>
      <c r="D146" s="634">
        <v>0</v>
      </c>
      <c r="E146" s="634">
        <v>0</v>
      </c>
      <c r="F146" s="634">
        <f>D146-E146</f>
        <v>0</v>
      </c>
      <c r="G146" s="741" t="s">
        <v>3</v>
      </c>
    </row>
    <row r="147" spans="1:7" ht="24" customHeight="1">
      <c r="A147" s="46"/>
      <c r="B147" s="51"/>
      <c r="C147" s="177">
        <v>1315</v>
      </c>
      <c r="D147" s="636"/>
      <c r="E147" s="636"/>
      <c r="F147" s="680"/>
      <c r="G147" s="853"/>
    </row>
    <row r="148" spans="1:7" ht="33" customHeight="1">
      <c r="A148" s="46"/>
      <c r="B148" s="51"/>
      <c r="C148" s="180" t="s">
        <v>33</v>
      </c>
      <c r="D148" s="637">
        <v>0</v>
      </c>
      <c r="E148" s="637">
        <v>0</v>
      </c>
      <c r="F148" s="681">
        <f>D148-E148</f>
        <v>0</v>
      </c>
      <c r="G148" s="855" t="s">
        <v>3</v>
      </c>
    </row>
    <row r="149" spans="1:7" ht="21" customHeight="1">
      <c r="A149" s="46"/>
      <c r="B149" s="53"/>
      <c r="C149" s="175">
        <v>1316</v>
      </c>
      <c r="D149" s="638"/>
      <c r="E149" s="638"/>
      <c r="F149" s="634"/>
      <c r="G149" s="741"/>
    </row>
    <row r="150" spans="1:7" ht="33" customHeight="1">
      <c r="A150" s="46"/>
      <c r="B150" s="53"/>
      <c r="C150" s="179" t="s">
        <v>34</v>
      </c>
      <c r="D150" s="634">
        <v>0</v>
      </c>
      <c r="E150" s="634">
        <v>0</v>
      </c>
      <c r="F150" s="634">
        <f>D150-E150</f>
        <v>0</v>
      </c>
      <c r="G150" s="741" t="s">
        <v>3</v>
      </c>
    </row>
    <row r="151" spans="1:7" ht="33" customHeight="1">
      <c r="A151" s="321"/>
      <c r="B151" s="322"/>
      <c r="C151" s="323"/>
      <c r="D151" s="639"/>
      <c r="E151" s="639"/>
      <c r="F151" s="639"/>
      <c r="G151" s="742" t="s">
        <v>3</v>
      </c>
    </row>
    <row r="152" spans="1:7" ht="24.75" customHeight="1">
      <c r="A152" s="44">
        <v>2200</v>
      </c>
      <c r="B152" s="49"/>
      <c r="C152" s="176"/>
      <c r="D152" s="620"/>
      <c r="E152" s="620"/>
      <c r="F152" s="653"/>
      <c r="G152" s="741"/>
    </row>
    <row r="153" spans="1:7" ht="28.5" customHeight="1">
      <c r="A153" s="48" t="s">
        <v>218</v>
      </c>
      <c r="B153" s="55"/>
      <c r="C153" s="174"/>
      <c r="D153" s="619">
        <f>SUM(D155,D159)</f>
        <v>0</v>
      </c>
      <c r="E153" s="619">
        <f>SUM(E155,E159)</f>
        <v>0</v>
      </c>
      <c r="F153" s="660">
        <f>D153-E153</f>
        <v>0</v>
      </c>
      <c r="G153" s="855"/>
    </row>
    <row r="154" spans="1:7" ht="24" customHeight="1">
      <c r="A154" s="44"/>
      <c r="B154" s="63">
        <v>2210</v>
      </c>
      <c r="C154" s="178"/>
      <c r="D154" s="621"/>
      <c r="E154" s="621"/>
      <c r="F154" s="662"/>
      <c r="G154" s="853"/>
    </row>
    <row r="155" spans="1:7" ht="28.5" customHeight="1">
      <c r="A155" s="62"/>
      <c r="B155" s="296" t="s">
        <v>219</v>
      </c>
      <c r="C155" s="230"/>
      <c r="D155" s="625">
        <f>D157</f>
        <v>0</v>
      </c>
      <c r="E155" s="625">
        <f>E157</f>
        <v>0</v>
      </c>
      <c r="F155" s="661">
        <f>D155-E155</f>
        <v>0</v>
      </c>
      <c r="G155" s="856"/>
    </row>
    <row r="156" spans="1:7" ht="24.75" customHeight="1">
      <c r="A156" s="44"/>
      <c r="B156" s="49"/>
      <c r="C156" s="176">
        <v>2211</v>
      </c>
      <c r="D156" s="620"/>
      <c r="E156" s="620"/>
      <c r="F156" s="653"/>
      <c r="G156" s="741"/>
    </row>
    <row r="157" spans="1:7" ht="28.5" customHeight="1">
      <c r="A157" s="44"/>
      <c r="B157" s="55"/>
      <c r="C157" s="180" t="s">
        <v>35</v>
      </c>
      <c r="D157" s="619">
        <v>0</v>
      </c>
      <c r="E157" s="619">
        <v>0</v>
      </c>
      <c r="F157" s="660">
        <f>D157-E157</f>
        <v>0</v>
      </c>
      <c r="G157" s="855" t="s">
        <v>3</v>
      </c>
    </row>
    <row r="158" spans="1:7" ht="25.5" customHeight="1">
      <c r="A158" s="62"/>
      <c r="B158" s="63">
        <v>2220</v>
      </c>
      <c r="C158" s="178"/>
      <c r="D158" s="621"/>
      <c r="E158" s="621"/>
      <c r="F158" s="662"/>
      <c r="G158" s="853"/>
    </row>
    <row r="159" spans="1:10" ht="30" customHeight="1">
      <c r="A159" s="62"/>
      <c r="B159" s="49" t="s">
        <v>220</v>
      </c>
      <c r="C159" s="176"/>
      <c r="D159" s="620">
        <f>D161</f>
        <v>0</v>
      </c>
      <c r="E159" s="620">
        <f>E161</f>
        <v>0</v>
      </c>
      <c r="F159" s="660">
        <f>D159-E159</f>
        <v>0</v>
      </c>
      <c r="G159" s="741"/>
      <c r="H159" s="7"/>
      <c r="I159" s="7"/>
      <c r="J159" s="7"/>
    </row>
    <row r="160" spans="1:10" ht="23.25" customHeight="1">
      <c r="A160" s="44"/>
      <c r="B160" s="49"/>
      <c r="C160" s="178">
        <v>2221</v>
      </c>
      <c r="D160" s="621"/>
      <c r="E160" s="621"/>
      <c r="F160" s="662"/>
      <c r="G160" s="853"/>
      <c r="H160" s="7"/>
      <c r="I160" s="7"/>
      <c r="J160" s="7"/>
    </row>
    <row r="161" spans="1:10" ht="27" customHeight="1">
      <c r="A161" s="44"/>
      <c r="B161" s="49"/>
      <c r="C161" s="179" t="s">
        <v>36</v>
      </c>
      <c r="D161" s="620">
        <v>0</v>
      </c>
      <c r="E161" s="620">
        <v>0</v>
      </c>
      <c r="F161" s="653">
        <f>D161-E161</f>
        <v>0</v>
      </c>
      <c r="G161" s="741"/>
      <c r="H161" s="7"/>
      <c r="I161" s="7"/>
      <c r="J161" s="7"/>
    </row>
    <row r="162" spans="1:10" ht="27" customHeight="1">
      <c r="A162" s="44"/>
      <c r="B162" s="49"/>
      <c r="C162" s="179"/>
      <c r="D162" s="620"/>
      <c r="E162" s="620"/>
      <c r="F162" s="653"/>
      <c r="G162" s="741"/>
      <c r="H162" s="7"/>
      <c r="I162" s="7"/>
      <c r="J162" s="7"/>
    </row>
    <row r="163" spans="1:10" ht="23.25" customHeight="1">
      <c r="A163" s="62"/>
      <c r="B163" s="49"/>
      <c r="C163" s="176"/>
      <c r="D163" s="620"/>
      <c r="E163" s="620"/>
      <c r="F163" s="653"/>
      <c r="G163" s="741"/>
      <c r="H163" s="7"/>
      <c r="I163" s="7"/>
      <c r="J163" s="7"/>
    </row>
    <row r="164" spans="1:10" ht="42.75" customHeight="1">
      <c r="A164" s="964" t="s">
        <v>63</v>
      </c>
      <c r="B164" s="963" t="s">
        <v>221</v>
      </c>
      <c r="C164" s="962"/>
      <c r="D164" s="961">
        <v>16296817</v>
      </c>
      <c r="E164" s="961">
        <v>13823718</v>
      </c>
      <c r="F164" s="960">
        <f>D164-E164</f>
        <v>2473099</v>
      </c>
      <c r="G164" s="959"/>
      <c r="H164" s="7"/>
      <c r="I164" s="7"/>
      <c r="J164" s="7"/>
    </row>
    <row r="165" spans="1:10" ht="42.75" customHeight="1">
      <c r="A165" s="328"/>
      <c r="B165" s="1121"/>
      <c r="C165" s="181"/>
      <c r="D165" s="623"/>
      <c r="E165" s="623"/>
      <c r="F165" s="659"/>
      <c r="G165" s="854"/>
      <c r="H165" s="7"/>
      <c r="I165" s="7"/>
      <c r="J165" s="7"/>
    </row>
    <row r="166" spans="1:10" ht="18.75" customHeight="1">
      <c r="A166" s="44"/>
      <c r="B166" s="51">
        <v>1100</v>
      </c>
      <c r="C166" s="176"/>
      <c r="D166" s="620"/>
      <c r="E166" s="620"/>
      <c r="F166" s="653"/>
      <c r="G166" s="741"/>
      <c r="H166" s="7"/>
      <c r="I166" s="7"/>
      <c r="J166" s="7"/>
    </row>
    <row r="167" spans="1:10" ht="30" customHeight="1">
      <c r="A167" s="44"/>
      <c r="B167" s="52" t="s">
        <v>222</v>
      </c>
      <c r="C167" s="230"/>
      <c r="D167" s="625">
        <f>D169+D171</f>
        <v>44028550</v>
      </c>
      <c r="E167" s="625">
        <f>E169+E171</f>
        <v>18892488</v>
      </c>
      <c r="F167" s="661">
        <f>D167-E167</f>
        <v>25136062</v>
      </c>
      <c r="G167" s="856"/>
      <c r="H167" s="7"/>
      <c r="I167" s="7"/>
      <c r="J167" s="7"/>
    </row>
    <row r="168" spans="1:10" ht="24" customHeight="1">
      <c r="A168" s="44"/>
      <c r="B168" s="49"/>
      <c r="C168" s="175">
        <v>1110</v>
      </c>
      <c r="D168" s="620"/>
      <c r="E168" s="620"/>
      <c r="F168" s="653"/>
      <c r="G168" s="741"/>
      <c r="H168" s="7"/>
      <c r="I168" s="7"/>
      <c r="J168" s="7"/>
    </row>
    <row r="169" spans="1:10" ht="26.25" customHeight="1">
      <c r="A169" s="44"/>
      <c r="B169" s="49"/>
      <c r="C169" s="174" t="s">
        <v>328</v>
      </c>
      <c r="D169" s="619">
        <v>38811376</v>
      </c>
      <c r="E169" s="625">
        <v>18892488</v>
      </c>
      <c r="F169" s="660">
        <f>D169-E169</f>
        <v>19918888</v>
      </c>
      <c r="G169" s="855"/>
      <c r="H169" s="7"/>
      <c r="I169" s="7"/>
      <c r="J169" s="7"/>
    </row>
    <row r="170" spans="1:10" ht="25.5" customHeight="1">
      <c r="A170" s="44"/>
      <c r="B170" s="49"/>
      <c r="C170" s="176">
        <v>1120</v>
      </c>
      <c r="D170" s="620" t="s">
        <v>3</v>
      </c>
      <c r="E170" s="620" t="s">
        <v>3</v>
      </c>
      <c r="F170" s="662" t="s">
        <v>3</v>
      </c>
      <c r="G170" s="741"/>
      <c r="H170" s="7"/>
      <c r="I170" s="7"/>
      <c r="J170" s="7"/>
    </row>
    <row r="171" spans="1:10" ht="30" customHeight="1">
      <c r="A171" s="44"/>
      <c r="B171" s="55"/>
      <c r="C171" s="180" t="s">
        <v>319</v>
      </c>
      <c r="D171" s="619">
        <v>5217174</v>
      </c>
      <c r="E171" s="619">
        <v>0</v>
      </c>
      <c r="F171" s="660">
        <f>D171-E171</f>
        <v>5217174</v>
      </c>
      <c r="G171" s="855"/>
      <c r="H171" s="7"/>
      <c r="I171" s="7"/>
      <c r="J171" s="7"/>
    </row>
    <row r="172" spans="1:10" ht="21" customHeight="1">
      <c r="A172" s="44"/>
      <c r="B172" s="49">
        <v>2100</v>
      </c>
      <c r="C172" s="176"/>
      <c r="D172" s="620"/>
      <c r="E172" s="620"/>
      <c r="F172" s="653"/>
      <c r="G172" s="741"/>
      <c r="H172" s="7"/>
      <c r="I172" s="7"/>
      <c r="J172" s="7"/>
    </row>
    <row r="173" spans="1:10" ht="30" customHeight="1">
      <c r="A173" s="44"/>
      <c r="B173" s="52" t="s">
        <v>223</v>
      </c>
      <c r="C173" s="176"/>
      <c r="D173" s="620">
        <f>D175+D177+D179</f>
        <v>20292816</v>
      </c>
      <c r="E173" s="620">
        <f>E175+E177</f>
        <v>0</v>
      </c>
      <c r="F173" s="660">
        <f>D173-E173</f>
        <v>20292816</v>
      </c>
      <c r="G173" s="741"/>
      <c r="H173" s="7"/>
      <c r="I173" s="7"/>
      <c r="J173" s="7"/>
    </row>
    <row r="174" spans="1:10" ht="18.75" customHeight="1">
      <c r="A174" s="44"/>
      <c r="B174" s="49"/>
      <c r="C174" s="178">
        <v>2120</v>
      </c>
      <c r="D174" s="621"/>
      <c r="E174" s="621"/>
      <c r="F174" s="662"/>
      <c r="G174" s="853"/>
      <c r="H174" s="7"/>
      <c r="I174" s="7"/>
      <c r="J174" s="7"/>
    </row>
    <row r="175" spans="1:10" ht="20.25" customHeight="1">
      <c r="A175" s="44"/>
      <c r="B175" s="49"/>
      <c r="C175" s="176" t="s">
        <v>321</v>
      </c>
      <c r="D175" s="620">
        <v>2211468</v>
      </c>
      <c r="E175" s="620">
        <v>0</v>
      </c>
      <c r="F175" s="653">
        <f>D175-E175</f>
        <v>2211468</v>
      </c>
      <c r="G175" s="741"/>
      <c r="H175" s="7"/>
      <c r="I175" s="7"/>
      <c r="J175" s="7"/>
    </row>
    <row r="176" spans="1:10" ht="15.75" customHeight="1">
      <c r="A176" s="44"/>
      <c r="B176" s="49"/>
      <c r="C176" s="176">
        <v>2130</v>
      </c>
      <c r="D176" s="620" t="s">
        <v>3</v>
      </c>
      <c r="E176" s="620" t="s">
        <v>3</v>
      </c>
      <c r="F176" s="653"/>
      <c r="G176" s="741"/>
      <c r="H176" s="7"/>
      <c r="I176" s="7"/>
      <c r="J176" s="7"/>
    </row>
    <row r="177" spans="1:10" ht="21" customHeight="1">
      <c r="A177" s="62"/>
      <c r="B177" s="55"/>
      <c r="C177" s="174" t="s">
        <v>322</v>
      </c>
      <c r="D177" s="619">
        <v>17324094</v>
      </c>
      <c r="E177" s="619">
        <v>0</v>
      </c>
      <c r="F177" s="660">
        <f>D177-E177</f>
        <v>17324094</v>
      </c>
      <c r="G177" s="855"/>
      <c r="H177" s="7"/>
      <c r="I177" s="7"/>
      <c r="J177" s="7"/>
    </row>
    <row r="178" spans="1:10" ht="23.25" customHeight="1">
      <c r="A178" s="44"/>
      <c r="B178" s="49"/>
      <c r="C178" s="176">
        <v>2140</v>
      </c>
      <c r="D178" s="620" t="s">
        <v>3</v>
      </c>
      <c r="E178" s="620" t="s">
        <v>3</v>
      </c>
      <c r="F178" s="653"/>
      <c r="G178" s="741"/>
      <c r="H178" s="7"/>
      <c r="I178" s="7"/>
      <c r="J178" s="7"/>
    </row>
    <row r="179" spans="1:10" ht="30" customHeight="1">
      <c r="A179" s="47"/>
      <c r="B179" s="50"/>
      <c r="C179" s="182" t="s">
        <v>329</v>
      </c>
      <c r="D179" s="623">
        <v>757254</v>
      </c>
      <c r="E179" s="623">
        <v>0</v>
      </c>
      <c r="F179" s="659">
        <f>D179-E179</f>
        <v>757254</v>
      </c>
      <c r="G179" s="866"/>
      <c r="H179" s="7"/>
      <c r="I179" s="7"/>
      <c r="J179" s="7"/>
    </row>
    <row r="180" spans="1:10" ht="30" customHeight="1">
      <c r="A180" s="8"/>
      <c r="B180" s="8"/>
      <c r="C180" s="217"/>
      <c r="D180" s="867"/>
      <c r="E180" s="669"/>
      <c r="F180" s="868"/>
      <c r="G180" s="869"/>
      <c r="H180" s="7"/>
      <c r="I180" s="7"/>
      <c r="J180" s="7"/>
    </row>
    <row r="181" spans="1:10" ht="30" customHeight="1">
      <c r="A181" s="10"/>
      <c r="B181" s="10"/>
      <c r="C181" s="218"/>
      <c r="D181" s="884">
        <f>D167-D173</f>
        <v>23735734</v>
      </c>
      <c r="E181" s="670"/>
      <c r="F181" s="671"/>
      <c r="G181" s="738"/>
      <c r="H181" s="7"/>
      <c r="I181" s="7"/>
      <c r="J181" s="7"/>
    </row>
    <row r="182" spans="1:10" ht="30" customHeight="1">
      <c r="A182" s="10"/>
      <c r="B182" s="10"/>
      <c r="C182" s="218"/>
      <c r="D182" s="870"/>
      <c r="E182" s="670"/>
      <c r="F182" s="671"/>
      <c r="G182" s="738"/>
      <c r="H182" s="7"/>
      <c r="I182" s="7"/>
      <c r="J182" s="7"/>
    </row>
    <row r="183" spans="1:10" ht="20.25" customHeight="1">
      <c r="A183" s="10"/>
      <c r="B183" s="10"/>
      <c r="C183" s="218"/>
      <c r="D183" s="870"/>
      <c r="E183" s="670"/>
      <c r="F183" s="671"/>
      <c r="G183" s="738"/>
      <c r="H183" s="7"/>
      <c r="I183" s="7"/>
      <c r="J183" s="7"/>
    </row>
    <row r="184" spans="1:10" ht="20.25" customHeight="1">
      <c r="A184" s="10"/>
      <c r="B184" s="10"/>
      <c r="C184" s="218"/>
      <c r="D184" s="870"/>
      <c r="E184" s="670"/>
      <c r="F184" s="671"/>
      <c r="G184" s="738"/>
      <c r="H184" s="7"/>
      <c r="I184" s="7"/>
      <c r="J184" s="7"/>
    </row>
    <row r="185" spans="1:10" ht="20.25" customHeight="1">
      <c r="A185" s="10"/>
      <c r="B185" s="10"/>
      <c r="C185" s="218"/>
      <c r="D185" s="870"/>
      <c r="E185" s="670"/>
      <c r="F185" s="671"/>
      <c r="G185" s="738"/>
      <c r="H185" s="7"/>
      <c r="I185" s="7"/>
      <c r="J185" s="7"/>
    </row>
    <row r="186" spans="1:10" ht="20.25" customHeight="1">
      <c r="A186" s="10"/>
      <c r="B186" s="10"/>
      <c r="C186" s="218"/>
      <c r="D186" s="870"/>
      <c r="E186" s="670"/>
      <c r="F186" s="671"/>
      <c r="G186" s="738"/>
      <c r="H186" s="7"/>
      <c r="I186" s="7"/>
      <c r="J186" s="7"/>
    </row>
    <row r="187" spans="1:10" ht="20.25" customHeight="1">
      <c r="A187" s="10"/>
      <c r="B187" s="10"/>
      <c r="C187" s="218"/>
      <c r="D187" s="870"/>
      <c r="E187" s="671"/>
      <c r="F187" s="671"/>
      <c r="G187" s="738"/>
      <c r="H187" s="7"/>
      <c r="I187" s="7"/>
      <c r="J187" s="7"/>
    </row>
    <row r="188" spans="1:10" ht="20.25" customHeight="1">
      <c r="A188" s="10"/>
      <c r="B188" s="10"/>
      <c r="C188" s="218"/>
      <c r="D188" s="870"/>
      <c r="E188" s="671"/>
      <c r="F188" s="671"/>
      <c r="G188" s="738"/>
      <c r="H188" s="7"/>
      <c r="I188" s="7"/>
      <c r="J188" s="7"/>
    </row>
    <row r="189" spans="1:10" ht="20.25" customHeight="1">
      <c r="A189" s="10"/>
      <c r="B189" s="10"/>
      <c r="C189" s="218"/>
      <c r="D189" s="870"/>
      <c r="E189" s="671"/>
      <c r="F189" s="671"/>
      <c r="G189" s="738"/>
      <c r="H189" s="7"/>
      <c r="I189" s="7"/>
      <c r="J189" s="7"/>
    </row>
    <row r="190" spans="1:10" ht="20.25" customHeight="1">
      <c r="A190" s="10"/>
      <c r="B190" s="10"/>
      <c r="C190" s="218"/>
      <c r="D190" s="870"/>
      <c r="E190" s="671"/>
      <c r="F190" s="671"/>
      <c r="G190" s="738"/>
      <c r="H190" s="7"/>
      <c r="I190" s="7"/>
      <c r="J190" s="7"/>
    </row>
    <row r="191" spans="1:10" ht="20.25" customHeight="1">
      <c r="A191" s="10"/>
      <c r="B191" s="10"/>
      <c r="C191" s="218"/>
      <c r="D191" s="870"/>
      <c r="E191" s="671"/>
      <c r="F191" s="671"/>
      <c r="G191" s="738"/>
      <c r="H191" s="7"/>
      <c r="I191" s="7"/>
      <c r="J191" s="7"/>
    </row>
    <row r="192" spans="1:10" ht="20.25" customHeight="1">
      <c r="A192" s="10"/>
      <c r="B192" s="10"/>
      <c r="C192" s="218"/>
      <c r="D192" s="870"/>
      <c r="E192" s="671"/>
      <c r="F192" s="671"/>
      <c r="G192" s="738"/>
      <c r="H192" s="7"/>
      <c r="I192" s="7"/>
      <c r="J192" s="7"/>
    </row>
    <row r="193" spans="1:10" ht="20.25" customHeight="1">
      <c r="A193" s="10"/>
      <c r="B193" s="10"/>
      <c r="C193" s="218"/>
      <c r="D193" s="870"/>
      <c r="E193" s="671"/>
      <c r="F193" s="671"/>
      <c r="G193" s="738"/>
      <c r="H193" s="7"/>
      <c r="I193" s="7"/>
      <c r="J193" s="7"/>
    </row>
    <row r="194" spans="1:10" ht="20.25" customHeight="1">
      <c r="A194" s="10"/>
      <c r="B194" s="10"/>
      <c r="C194" s="218"/>
      <c r="D194" s="870"/>
      <c r="E194" s="671"/>
      <c r="F194" s="671"/>
      <c r="G194" s="738"/>
      <c r="H194" s="7"/>
      <c r="I194" s="7"/>
      <c r="J194" s="7"/>
    </row>
    <row r="195" spans="1:10" ht="20.25" customHeight="1">
      <c r="A195" s="10"/>
      <c r="B195" s="10"/>
      <c r="C195" s="218"/>
      <c r="D195" s="870"/>
      <c r="E195" s="671"/>
      <c r="F195" s="671"/>
      <c r="G195" s="738"/>
      <c r="H195" s="7"/>
      <c r="I195" s="7"/>
      <c r="J195" s="7"/>
    </row>
    <row r="196" spans="1:10" ht="20.25" customHeight="1">
      <c r="A196" s="10"/>
      <c r="B196" s="10"/>
      <c r="C196" s="218"/>
      <c r="D196" s="870"/>
      <c r="E196" s="671"/>
      <c r="F196" s="671"/>
      <c r="G196" s="738"/>
      <c r="H196" s="7"/>
      <c r="I196" s="7"/>
      <c r="J196" s="7"/>
    </row>
    <row r="197" spans="1:10" ht="20.25" customHeight="1">
      <c r="A197" s="10"/>
      <c r="B197" s="10"/>
      <c r="C197" s="218"/>
      <c r="D197" s="870"/>
      <c r="E197" s="671"/>
      <c r="F197" s="671"/>
      <c r="G197" s="738"/>
      <c r="H197" s="7"/>
      <c r="I197" s="7"/>
      <c r="J197" s="7"/>
    </row>
    <row r="198" spans="1:10" ht="20.25" customHeight="1">
      <c r="A198" s="10"/>
      <c r="B198" s="10"/>
      <c r="C198" s="218"/>
      <c r="D198" s="870"/>
      <c r="E198" s="671"/>
      <c r="F198" s="671"/>
      <c r="G198" s="738"/>
      <c r="H198" s="7"/>
      <c r="I198" s="7"/>
      <c r="J198" s="7"/>
    </row>
    <row r="199" spans="1:10" ht="20.25" customHeight="1">
      <c r="A199" s="10"/>
      <c r="B199" s="10"/>
      <c r="C199" s="218"/>
      <c r="D199" s="870"/>
      <c r="E199" s="671"/>
      <c r="F199" s="671"/>
      <c r="G199" s="738"/>
      <c r="H199" s="7"/>
      <c r="I199" s="7"/>
      <c r="J199" s="7"/>
    </row>
    <row r="200" spans="1:10" ht="20.25" customHeight="1">
      <c r="A200" s="10"/>
      <c r="B200" s="10"/>
      <c r="C200" s="218"/>
      <c r="D200" s="870"/>
      <c r="E200" s="671"/>
      <c r="F200" s="671"/>
      <c r="G200" s="738"/>
      <c r="H200" s="7"/>
      <c r="I200" s="7"/>
      <c r="J200" s="7"/>
    </row>
    <row r="201" spans="1:10" ht="20.25" customHeight="1">
      <c r="A201" s="10"/>
      <c r="B201" s="10"/>
      <c r="C201" s="218"/>
      <c r="D201" s="870"/>
      <c r="E201" s="671"/>
      <c r="F201" s="671"/>
      <c r="G201" s="738"/>
      <c r="H201" s="7"/>
      <c r="I201" s="7"/>
      <c r="J201" s="7"/>
    </row>
    <row r="202" spans="1:10" ht="20.25" customHeight="1">
      <c r="A202" s="10"/>
      <c r="B202" s="10"/>
      <c r="C202" s="218"/>
      <c r="D202" s="870"/>
      <c r="E202" s="671"/>
      <c r="F202" s="671"/>
      <c r="G202" s="738"/>
      <c r="H202" s="7"/>
      <c r="I202" s="7"/>
      <c r="J202" s="7"/>
    </row>
    <row r="203" spans="1:10" ht="20.25" customHeight="1">
      <c r="A203" s="10"/>
      <c r="B203" s="10"/>
      <c r="C203" s="218"/>
      <c r="D203" s="870"/>
      <c r="E203" s="671"/>
      <c r="F203" s="671"/>
      <c r="G203" s="738"/>
      <c r="H203" s="7"/>
      <c r="I203" s="7"/>
      <c r="J203" s="7"/>
    </row>
    <row r="204" spans="1:10" ht="20.25" customHeight="1">
      <c r="A204" s="10"/>
      <c r="B204" s="10"/>
      <c r="C204" s="218"/>
      <c r="D204" s="870"/>
      <c r="E204" s="671"/>
      <c r="F204" s="671"/>
      <c r="G204" s="738"/>
      <c r="H204" s="7"/>
      <c r="I204" s="7"/>
      <c r="J204" s="7"/>
    </row>
    <row r="205" spans="1:10" ht="20.25" customHeight="1">
      <c r="A205" s="12"/>
      <c r="B205" s="12"/>
      <c r="C205" s="219"/>
      <c r="D205" s="871"/>
      <c r="E205" s="672"/>
      <c r="F205" s="672"/>
      <c r="G205" s="739"/>
      <c r="H205" s="7"/>
      <c r="I205" s="7"/>
      <c r="J205" s="7"/>
    </row>
    <row r="206" spans="1:10" ht="20.25" customHeight="1">
      <c r="A206" s="12"/>
      <c r="B206" s="12"/>
      <c r="C206" s="219"/>
      <c r="D206" s="871"/>
      <c r="E206" s="672"/>
      <c r="F206" s="672"/>
      <c r="G206" s="739"/>
      <c r="H206" s="7"/>
      <c r="I206" s="7"/>
      <c r="J206" s="7"/>
    </row>
    <row r="207" spans="1:7" ht="20.25" customHeight="1">
      <c r="A207" s="12"/>
      <c r="B207" s="12"/>
      <c r="C207" s="219"/>
      <c r="D207" s="871"/>
      <c r="E207" s="672"/>
      <c r="F207" s="672"/>
      <c r="G207" s="739"/>
    </row>
    <row r="208" spans="1:7" ht="20.25" customHeight="1">
      <c r="A208" s="12"/>
      <c r="B208" s="12"/>
      <c r="C208" s="219"/>
      <c r="D208" s="871"/>
      <c r="E208" s="672"/>
      <c r="F208" s="672"/>
      <c r="G208" s="739"/>
    </row>
    <row r="209" spans="1:7" ht="20.25" customHeight="1">
      <c r="A209" s="12"/>
      <c r="B209" s="12"/>
      <c r="C209" s="219"/>
      <c r="D209" s="871"/>
      <c r="E209" s="672"/>
      <c r="F209" s="672"/>
      <c r="G209" s="739"/>
    </row>
    <row r="210" spans="1:7" ht="20.25" customHeight="1">
      <c r="A210" s="12"/>
      <c r="B210" s="12"/>
      <c r="C210" s="219"/>
      <c r="D210" s="871"/>
      <c r="E210" s="672"/>
      <c r="F210" s="672"/>
      <c r="G210" s="739"/>
    </row>
    <row r="211" spans="1:7" ht="20.25" customHeight="1">
      <c r="A211" s="12"/>
      <c r="B211" s="12"/>
      <c r="C211" s="219"/>
      <c r="D211" s="871"/>
      <c r="E211" s="672"/>
      <c r="F211" s="672"/>
      <c r="G211" s="739"/>
    </row>
    <row r="212" spans="1:7" ht="20.25" customHeight="1">
      <c r="A212" s="12"/>
      <c r="B212" s="12"/>
      <c r="C212" s="219"/>
      <c r="D212" s="871"/>
      <c r="E212" s="672"/>
      <c r="F212" s="672"/>
      <c r="G212" s="739"/>
    </row>
    <row r="213" spans="1:7" ht="20.25" customHeight="1">
      <c r="A213" s="12"/>
      <c r="B213" s="12"/>
      <c r="C213" s="219"/>
      <c r="D213" s="871"/>
      <c r="E213" s="672"/>
      <c r="F213" s="672"/>
      <c r="G213" s="739"/>
    </row>
    <row r="214" spans="1:7" ht="20.25" customHeight="1">
      <c r="A214" s="12"/>
      <c r="B214" s="12"/>
      <c r="C214" s="219"/>
      <c r="D214" s="871"/>
      <c r="E214" s="672"/>
      <c r="F214" s="672"/>
      <c r="G214" s="739"/>
    </row>
    <row r="215" spans="1:7" ht="20.25" customHeight="1">
      <c r="A215" s="12"/>
      <c r="B215" s="12"/>
      <c r="C215" s="219"/>
      <c r="D215" s="871"/>
      <c r="E215" s="672"/>
      <c r="F215" s="672"/>
      <c r="G215" s="739"/>
    </row>
    <row r="216" spans="1:7" ht="20.25" customHeight="1">
      <c r="A216" s="12"/>
      <c r="B216" s="12"/>
      <c r="C216" s="219"/>
      <c r="D216" s="871"/>
      <c r="E216" s="672"/>
      <c r="F216" s="672"/>
      <c r="G216" s="739"/>
    </row>
    <row r="217" spans="1:7" ht="20.25" customHeight="1">
      <c r="A217" s="12"/>
      <c r="B217" s="12"/>
      <c r="C217" s="219"/>
      <c r="D217" s="871"/>
      <c r="E217" s="672"/>
      <c r="F217" s="672"/>
      <c r="G217" s="739"/>
    </row>
    <row r="218" spans="1:7" ht="20.25" customHeight="1">
      <c r="A218" s="12"/>
      <c r="B218" s="12"/>
      <c r="C218" s="219"/>
      <c r="D218" s="871"/>
      <c r="E218" s="672"/>
      <c r="F218" s="672"/>
      <c r="G218" s="739"/>
    </row>
    <row r="219" spans="1:7" ht="20.25" customHeight="1">
      <c r="A219" s="12"/>
      <c r="B219" s="12"/>
      <c r="C219" s="219"/>
      <c r="D219" s="871"/>
      <c r="E219" s="672"/>
      <c r="F219" s="672"/>
      <c r="G219" s="739"/>
    </row>
    <row r="220" spans="1:7" ht="20.25" customHeight="1">
      <c r="A220" s="12"/>
      <c r="B220" s="12"/>
      <c r="C220" s="219"/>
      <c r="D220" s="871"/>
      <c r="E220" s="672"/>
      <c r="F220" s="672"/>
      <c r="G220" s="739"/>
    </row>
    <row r="221" spans="1:7" ht="20.25" customHeight="1">
      <c r="A221" s="12"/>
      <c r="B221" s="12"/>
      <c r="C221" s="219"/>
      <c r="D221" s="871"/>
      <c r="E221" s="672"/>
      <c r="F221" s="672"/>
      <c r="G221" s="739"/>
    </row>
    <row r="222" spans="1:7" ht="20.25" customHeight="1">
      <c r="A222" s="12"/>
      <c r="B222" s="12"/>
      <c r="C222" s="219"/>
      <c r="D222" s="871"/>
      <c r="E222" s="672"/>
      <c r="F222" s="672"/>
      <c r="G222" s="739"/>
    </row>
    <row r="223" spans="1:7" ht="20.25" customHeight="1">
      <c r="A223" s="12"/>
      <c r="B223" s="12"/>
      <c r="C223" s="219"/>
      <c r="D223" s="871"/>
      <c r="E223" s="672"/>
      <c r="F223" s="672"/>
      <c r="G223" s="739"/>
    </row>
    <row r="224" spans="1:7" ht="20.25" customHeight="1">
      <c r="A224" s="12"/>
      <c r="B224" s="12"/>
      <c r="C224" s="219"/>
      <c r="D224" s="871"/>
      <c r="E224" s="672"/>
      <c r="F224" s="672"/>
      <c r="G224" s="739"/>
    </row>
    <row r="225" spans="1:7" ht="20.25" customHeight="1">
      <c r="A225" s="12"/>
      <c r="B225" s="12"/>
      <c r="C225" s="219"/>
      <c r="D225" s="871"/>
      <c r="E225" s="672"/>
      <c r="F225" s="672"/>
      <c r="G225" s="739"/>
    </row>
    <row r="226" spans="1:7" ht="20.25" customHeight="1">
      <c r="A226" s="12"/>
      <c r="B226" s="12"/>
      <c r="C226" s="219"/>
      <c r="D226" s="871"/>
      <c r="E226" s="672"/>
      <c r="F226" s="672"/>
      <c r="G226" s="739"/>
    </row>
    <row r="227" spans="1:7" ht="20.25" customHeight="1">
      <c r="A227" s="12"/>
      <c r="B227" s="12"/>
      <c r="C227" s="219"/>
      <c r="D227" s="871"/>
      <c r="E227" s="672"/>
      <c r="F227" s="672"/>
      <c r="G227" s="739"/>
    </row>
    <row r="228" spans="1:7" ht="20.25" customHeight="1">
      <c r="A228" s="12"/>
      <c r="B228" s="12"/>
      <c r="C228" s="219"/>
      <c r="D228" s="871"/>
      <c r="E228" s="672"/>
      <c r="F228" s="672"/>
      <c r="G228" s="739"/>
    </row>
    <row r="229" spans="1:7" ht="20.25" customHeight="1">
      <c r="A229" s="12"/>
      <c r="B229" s="12"/>
      <c r="C229" s="219"/>
      <c r="D229" s="871"/>
      <c r="E229" s="672"/>
      <c r="F229" s="672"/>
      <c r="G229" s="739"/>
    </row>
    <row r="230" spans="1:7" ht="20.25" customHeight="1">
      <c r="A230" s="12"/>
      <c r="B230" s="12"/>
      <c r="C230" s="219"/>
      <c r="D230" s="871"/>
      <c r="E230" s="672"/>
      <c r="F230" s="672"/>
      <c r="G230" s="739"/>
    </row>
    <row r="231" spans="1:7" ht="20.25" customHeight="1">
      <c r="A231" s="12"/>
      <c r="B231" s="12"/>
      <c r="C231" s="219"/>
      <c r="D231" s="871"/>
      <c r="E231" s="672"/>
      <c r="F231" s="672"/>
      <c r="G231" s="739"/>
    </row>
    <row r="232" spans="1:7" ht="20.25" customHeight="1">
      <c r="A232" s="12"/>
      <c r="B232" s="12"/>
      <c r="C232" s="219"/>
      <c r="D232" s="871"/>
      <c r="E232" s="672"/>
      <c r="F232" s="672"/>
      <c r="G232" s="739"/>
    </row>
    <row r="233" spans="1:7" ht="20.25" customHeight="1">
      <c r="A233" s="12"/>
      <c r="B233" s="12"/>
      <c r="C233" s="219"/>
      <c r="D233" s="871"/>
      <c r="E233" s="672"/>
      <c r="F233" s="672"/>
      <c r="G233" s="739"/>
    </row>
    <row r="234" spans="1:7" ht="20.25" customHeight="1">
      <c r="A234" s="12"/>
      <c r="B234" s="12"/>
      <c r="C234" s="219"/>
      <c r="D234" s="871"/>
      <c r="E234" s="672"/>
      <c r="F234" s="672"/>
      <c r="G234" s="739"/>
    </row>
    <row r="235" spans="1:7" ht="20.25" customHeight="1">
      <c r="A235" s="12"/>
      <c r="B235" s="12"/>
      <c r="C235" s="219"/>
      <c r="D235" s="871"/>
      <c r="E235" s="672"/>
      <c r="F235" s="672"/>
      <c r="G235" s="739"/>
    </row>
    <row r="236" spans="1:7" ht="20.25" customHeight="1">
      <c r="A236" s="12"/>
      <c r="B236" s="12"/>
      <c r="C236" s="219"/>
      <c r="D236" s="871"/>
      <c r="E236" s="672"/>
      <c r="F236" s="672"/>
      <c r="G236" s="739"/>
    </row>
    <row r="237" spans="1:7" ht="20.25" customHeight="1">
      <c r="A237" s="12"/>
      <c r="B237" s="12"/>
      <c r="C237" s="219"/>
      <c r="D237" s="871"/>
      <c r="E237" s="672"/>
      <c r="F237" s="672"/>
      <c r="G237" s="739"/>
    </row>
    <row r="238" spans="1:7" ht="20.25" customHeight="1">
      <c r="A238" s="12"/>
      <c r="B238" s="12"/>
      <c r="C238" s="219"/>
      <c r="D238" s="871"/>
      <c r="E238" s="672"/>
      <c r="F238" s="672"/>
      <c r="G238" s="739"/>
    </row>
    <row r="239" spans="1:7" ht="20.25" customHeight="1">
      <c r="A239" s="12"/>
      <c r="B239" s="12"/>
      <c r="C239" s="219"/>
      <c r="D239" s="871"/>
      <c r="E239" s="672"/>
      <c r="F239" s="672"/>
      <c r="G239" s="739"/>
    </row>
    <row r="240" spans="1:7" ht="20.25" customHeight="1">
      <c r="A240" s="12"/>
      <c r="B240" s="12"/>
      <c r="C240" s="219"/>
      <c r="D240" s="871"/>
      <c r="E240" s="672"/>
      <c r="F240" s="672"/>
      <c r="G240" s="739"/>
    </row>
    <row r="241" spans="1:7" ht="20.25" customHeight="1">
      <c r="A241" s="12"/>
      <c r="B241" s="12"/>
      <c r="C241" s="219"/>
      <c r="D241" s="871"/>
      <c r="E241" s="672"/>
      <c r="F241" s="672"/>
      <c r="G241" s="739"/>
    </row>
    <row r="242" spans="1:7" ht="20.25" customHeight="1">
      <c r="A242" s="12"/>
      <c r="B242" s="12"/>
      <c r="C242" s="219"/>
      <c r="D242" s="871"/>
      <c r="E242" s="672"/>
      <c r="F242" s="672"/>
      <c r="G242" s="739"/>
    </row>
    <row r="243" spans="1:7" ht="20.25" customHeight="1">
      <c r="A243" s="12"/>
      <c r="B243" s="12"/>
      <c r="C243" s="219"/>
      <c r="D243" s="871"/>
      <c r="E243" s="672"/>
      <c r="F243" s="672"/>
      <c r="G243" s="739"/>
    </row>
    <row r="244" spans="1:7" ht="20.25" customHeight="1">
      <c r="A244" s="12"/>
      <c r="B244" s="12"/>
      <c r="C244" s="219"/>
      <c r="D244" s="871"/>
      <c r="E244" s="672"/>
      <c r="F244" s="672"/>
      <c r="G244" s="739"/>
    </row>
    <row r="245" spans="1:7" ht="20.25" customHeight="1">
      <c r="A245" s="12"/>
      <c r="B245" s="12"/>
      <c r="C245" s="219"/>
      <c r="D245" s="871"/>
      <c r="E245" s="672"/>
      <c r="F245" s="672"/>
      <c r="G245" s="739"/>
    </row>
    <row r="246" spans="1:7" ht="20.25" customHeight="1">
      <c r="A246" s="12"/>
      <c r="B246" s="12"/>
      <c r="C246" s="219"/>
      <c r="D246" s="871"/>
      <c r="E246" s="672"/>
      <c r="F246" s="672"/>
      <c r="G246" s="739"/>
    </row>
    <row r="247" spans="1:7" ht="20.25" customHeight="1">
      <c r="A247" s="12"/>
      <c r="B247" s="12"/>
      <c r="C247" s="219"/>
      <c r="D247" s="871"/>
      <c r="E247" s="672"/>
      <c r="F247" s="672"/>
      <c r="G247" s="739"/>
    </row>
    <row r="248" spans="1:7" ht="20.25" customHeight="1">
      <c r="A248" s="12"/>
      <c r="B248" s="12"/>
      <c r="C248" s="219"/>
      <c r="D248" s="871"/>
      <c r="E248" s="672"/>
      <c r="F248" s="672"/>
      <c r="G248" s="739"/>
    </row>
    <row r="249" spans="1:7" ht="20.25" customHeight="1">
      <c r="A249" s="12"/>
      <c r="B249" s="12"/>
      <c r="C249" s="219"/>
      <c r="D249" s="871"/>
      <c r="E249" s="672"/>
      <c r="F249" s="672"/>
      <c r="G249" s="739"/>
    </row>
    <row r="250" spans="1:7" ht="20.25" customHeight="1">
      <c r="A250" s="12"/>
      <c r="B250" s="12"/>
      <c r="C250" s="219"/>
      <c r="D250" s="871"/>
      <c r="E250" s="672"/>
      <c r="F250" s="672"/>
      <c r="G250" s="739"/>
    </row>
    <row r="251" spans="1:7" ht="20.25" customHeight="1">
      <c r="A251" s="12"/>
      <c r="B251" s="12"/>
      <c r="C251" s="219"/>
      <c r="D251" s="871"/>
      <c r="E251" s="672"/>
      <c r="F251" s="672"/>
      <c r="G251" s="739"/>
    </row>
    <row r="252" spans="1:7" ht="20.25" customHeight="1">
      <c r="A252" s="12"/>
      <c r="B252" s="12"/>
      <c r="C252" s="219"/>
      <c r="D252" s="871"/>
      <c r="E252" s="672"/>
      <c r="F252" s="672"/>
      <c r="G252" s="739"/>
    </row>
    <row r="253" spans="1:7" ht="20.25" customHeight="1">
      <c r="A253" s="12"/>
      <c r="B253" s="12"/>
      <c r="C253" s="219"/>
      <c r="D253" s="871"/>
      <c r="E253" s="672"/>
      <c r="F253" s="672"/>
      <c r="G253" s="739"/>
    </row>
    <row r="254" spans="1:7" ht="20.25" customHeight="1">
      <c r="A254" s="12"/>
      <c r="B254" s="12"/>
      <c r="C254" s="219"/>
      <c r="D254" s="871"/>
      <c r="E254" s="672"/>
      <c r="F254" s="672"/>
      <c r="G254" s="739"/>
    </row>
    <row r="255" spans="1:7" ht="20.25" customHeight="1">
      <c r="A255" s="12"/>
      <c r="B255" s="12"/>
      <c r="C255" s="219"/>
      <c r="D255" s="871"/>
      <c r="E255" s="672"/>
      <c r="F255" s="672"/>
      <c r="G255" s="739"/>
    </row>
    <row r="256" spans="1:7" ht="20.25" customHeight="1">
      <c r="A256" s="12"/>
      <c r="B256" s="12"/>
      <c r="C256" s="219"/>
      <c r="D256" s="871"/>
      <c r="E256" s="672"/>
      <c r="F256" s="672"/>
      <c r="G256" s="739"/>
    </row>
    <row r="257" spans="1:7" ht="20.25" customHeight="1">
      <c r="A257" s="12"/>
      <c r="B257" s="12"/>
      <c r="C257" s="219"/>
      <c r="D257" s="871"/>
      <c r="E257" s="672"/>
      <c r="F257" s="672"/>
      <c r="G257" s="739"/>
    </row>
    <row r="258" spans="1:7" ht="20.25" customHeight="1">
      <c r="A258" s="12"/>
      <c r="B258" s="12"/>
      <c r="C258" s="219"/>
      <c r="D258" s="871"/>
      <c r="E258" s="672"/>
      <c r="F258" s="672"/>
      <c r="G258" s="739"/>
    </row>
    <row r="259" spans="1:7" ht="20.25" customHeight="1">
      <c r="A259" s="12"/>
      <c r="B259" s="12"/>
      <c r="C259" s="219"/>
      <c r="D259" s="871"/>
      <c r="E259" s="672"/>
      <c r="F259" s="672"/>
      <c r="G259" s="739"/>
    </row>
    <row r="260" spans="1:7" ht="20.25" customHeight="1">
      <c r="A260" s="12"/>
      <c r="B260" s="12"/>
      <c r="C260" s="219"/>
      <c r="D260" s="871"/>
      <c r="E260" s="672"/>
      <c r="F260" s="672"/>
      <c r="G260" s="739"/>
    </row>
    <row r="261" spans="1:7" ht="20.25" customHeight="1">
      <c r="A261" s="12"/>
      <c r="B261" s="12"/>
      <c r="C261" s="219"/>
      <c r="D261" s="871"/>
      <c r="E261" s="672"/>
      <c r="F261" s="672"/>
      <c r="G261" s="739"/>
    </row>
    <row r="262" spans="1:7" ht="20.25" customHeight="1">
      <c r="A262" s="12"/>
      <c r="B262" s="12"/>
      <c r="C262" s="219"/>
      <c r="D262" s="871"/>
      <c r="E262" s="672"/>
      <c r="F262" s="672"/>
      <c r="G262" s="739"/>
    </row>
    <row r="263" spans="1:7" ht="20.25" customHeight="1">
      <c r="A263" s="12"/>
      <c r="B263" s="12"/>
      <c r="C263" s="219"/>
      <c r="D263" s="871"/>
      <c r="E263" s="672"/>
      <c r="F263" s="672"/>
      <c r="G263" s="739"/>
    </row>
    <row r="264" spans="1:7" ht="20.25" customHeight="1">
      <c r="A264" s="12"/>
      <c r="B264" s="12"/>
      <c r="C264" s="219"/>
      <c r="D264" s="871"/>
      <c r="E264" s="672"/>
      <c r="F264" s="672"/>
      <c r="G264" s="739"/>
    </row>
    <row r="265" spans="1:7" ht="20.25" customHeight="1">
      <c r="A265" s="12"/>
      <c r="B265" s="12"/>
      <c r="C265" s="219"/>
      <c r="D265" s="871"/>
      <c r="E265" s="672"/>
      <c r="F265" s="672"/>
      <c r="G265" s="739"/>
    </row>
    <row r="266" spans="1:7" ht="20.25" customHeight="1">
      <c r="A266" s="12"/>
      <c r="B266" s="12"/>
      <c r="C266" s="219"/>
      <c r="D266" s="871"/>
      <c r="E266" s="672"/>
      <c r="F266" s="672"/>
      <c r="G266" s="739"/>
    </row>
    <row r="267" spans="1:7" ht="20.25" customHeight="1">
      <c r="A267" s="12"/>
      <c r="B267" s="12"/>
      <c r="C267" s="219"/>
      <c r="D267" s="871"/>
      <c r="E267" s="672"/>
      <c r="F267" s="672"/>
      <c r="G267" s="739"/>
    </row>
    <row r="268" spans="1:7" ht="20.25" customHeight="1">
      <c r="A268" s="12"/>
      <c r="B268" s="12"/>
      <c r="C268" s="219"/>
      <c r="D268" s="871"/>
      <c r="E268" s="672"/>
      <c r="F268" s="672"/>
      <c r="G268" s="739"/>
    </row>
    <row r="269" spans="1:7" ht="20.25" customHeight="1">
      <c r="A269" s="12"/>
      <c r="B269" s="12"/>
      <c r="C269" s="219"/>
      <c r="D269" s="871"/>
      <c r="E269" s="672"/>
      <c r="F269" s="672"/>
      <c r="G269" s="739"/>
    </row>
    <row r="270" spans="1:7" ht="20.25" customHeight="1">
      <c r="A270" s="12"/>
      <c r="B270" s="12"/>
      <c r="C270" s="219"/>
      <c r="D270" s="871"/>
      <c r="E270" s="672"/>
      <c r="F270" s="672"/>
      <c r="G270" s="739"/>
    </row>
    <row r="271" spans="1:7" ht="20.25" customHeight="1">
      <c r="A271" s="12"/>
      <c r="B271" s="12"/>
      <c r="C271" s="219"/>
      <c r="D271" s="871"/>
      <c r="E271" s="672"/>
      <c r="F271" s="672"/>
      <c r="G271" s="739"/>
    </row>
    <row r="272" spans="1:7" ht="20.25" customHeight="1">
      <c r="A272" s="12"/>
      <c r="B272" s="12"/>
      <c r="C272" s="219"/>
      <c r="D272" s="871"/>
      <c r="E272" s="672"/>
      <c r="F272" s="672"/>
      <c r="G272" s="739"/>
    </row>
    <row r="273" spans="1:7" ht="20.25" customHeight="1">
      <c r="A273" s="12"/>
      <c r="B273" s="12"/>
      <c r="C273" s="219"/>
      <c r="D273" s="871"/>
      <c r="E273" s="672"/>
      <c r="F273" s="672"/>
      <c r="G273" s="739"/>
    </row>
    <row r="274" spans="1:7" ht="20.25" customHeight="1">
      <c r="A274" s="12"/>
      <c r="B274" s="12"/>
      <c r="C274" s="219"/>
      <c r="D274" s="871"/>
      <c r="E274" s="672"/>
      <c r="F274" s="672"/>
      <c r="G274" s="739"/>
    </row>
    <row r="275" spans="1:7" ht="20.25" customHeight="1">
      <c r="A275" s="12"/>
      <c r="B275" s="12"/>
      <c r="C275" s="219"/>
      <c r="D275" s="871"/>
      <c r="E275" s="672"/>
      <c r="F275" s="672"/>
      <c r="G275" s="739"/>
    </row>
    <row r="276" spans="1:7" ht="20.25" customHeight="1">
      <c r="A276" s="12"/>
      <c r="B276" s="12"/>
      <c r="C276" s="219"/>
      <c r="D276" s="871"/>
      <c r="E276" s="672"/>
      <c r="F276" s="672"/>
      <c r="G276" s="739"/>
    </row>
    <row r="277" spans="1:7" ht="20.25" customHeight="1">
      <c r="A277" s="12"/>
      <c r="B277" s="12"/>
      <c r="C277" s="219"/>
      <c r="D277" s="871"/>
      <c r="E277" s="672"/>
      <c r="F277" s="672"/>
      <c r="G277" s="739"/>
    </row>
    <row r="278" spans="1:7" ht="20.25" customHeight="1">
      <c r="A278" s="12"/>
      <c r="B278" s="12"/>
      <c r="C278" s="219"/>
      <c r="D278" s="871"/>
      <c r="E278" s="672"/>
      <c r="F278" s="672"/>
      <c r="G278" s="739"/>
    </row>
    <row r="279" spans="1:7" ht="20.25" customHeight="1">
      <c r="A279" s="12"/>
      <c r="B279" s="12"/>
      <c r="C279" s="219"/>
      <c r="D279" s="871"/>
      <c r="E279" s="672"/>
      <c r="F279" s="672"/>
      <c r="G279" s="739"/>
    </row>
    <row r="280" spans="1:7" ht="20.25" customHeight="1">
      <c r="A280" s="12"/>
      <c r="B280" s="12"/>
      <c r="C280" s="219"/>
      <c r="D280" s="871"/>
      <c r="E280" s="672"/>
      <c r="F280" s="672"/>
      <c r="G280" s="739"/>
    </row>
    <row r="281" spans="1:7" ht="20.25" customHeight="1">
      <c r="A281" s="12"/>
      <c r="B281" s="12"/>
      <c r="C281" s="219"/>
      <c r="D281" s="871"/>
      <c r="E281" s="672"/>
      <c r="F281" s="672"/>
      <c r="G281" s="739"/>
    </row>
    <row r="282" spans="1:7" ht="20.25" customHeight="1">
      <c r="A282" s="12"/>
      <c r="B282" s="12"/>
      <c r="C282" s="219"/>
      <c r="D282" s="871"/>
      <c r="E282" s="672"/>
      <c r="F282" s="672"/>
      <c r="G282" s="739"/>
    </row>
    <row r="283" spans="1:7" ht="20.25" customHeight="1">
      <c r="A283" s="12"/>
      <c r="B283" s="12"/>
      <c r="C283" s="219"/>
      <c r="D283" s="871"/>
      <c r="E283" s="672"/>
      <c r="F283" s="672"/>
      <c r="G283" s="739"/>
    </row>
    <row r="284" spans="1:7" ht="20.25" customHeight="1">
      <c r="A284" s="12"/>
      <c r="B284" s="12"/>
      <c r="C284" s="219"/>
      <c r="D284" s="871"/>
      <c r="E284" s="672"/>
      <c r="F284" s="672"/>
      <c r="G284" s="739"/>
    </row>
    <row r="285" spans="1:7" ht="20.25" customHeight="1">
      <c r="A285" s="12"/>
      <c r="B285" s="12"/>
      <c r="C285" s="219"/>
      <c r="D285" s="871"/>
      <c r="E285" s="672"/>
      <c r="F285" s="672"/>
      <c r="G285" s="739"/>
    </row>
    <row r="286" spans="1:7" ht="20.25" customHeight="1">
      <c r="A286" s="12"/>
      <c r="B286" s="12"/>
      <c r="C286" s="219"/>
      <c r="D286" s="871"/>
      <c r="E286" s="672"/>
      <c r="F286" s="672"/>
      <c r="G286" s="739"/>
    </row>
    <row r="287" spans="1:7" ht="20.25" customHeight="1">
      <c r="A287" s="12"/>
      <c r="B287" s="12"/>
      <c r="C287" s="219"/>
      <c r="D287" s="871"/>
      <c r="E287" s="672"/>
      <c r="F287" s="672"/>
      <c r="G287" s="739"/>
    </row>
    <row r="288" spans="1:7" ht="20.25" customHeight="1">
      <c r="A288" s="12"/>
      <c r="B288" s="12"/>
      <c r="C288" s="219"/>
      <c r="D288" s="871"/>
      <c r="E288" s="672"/>
      <c r="F288" s="672"/>
      <c r="G288" s="739"/>
    </row>
    <row r="289" spans="1:7" ht="20.25" customHeight="1">
      <c r="A289" s="12"/>
      <c r="B289" s="12"/>
      <c r="C289" s="219"/>
      <c r="D289" s="871"/>
      <c r="E289" s="672"/>
      <c r="F289" s="672"/>
      <c r="G289" s="739"/>
    </row>
    <row r="290" spans="1:7" ht="20.25" customHeight="1">
      <c r="A290" s="12"/>
      <c r="B290" s="12"/>
      <c r="C290" s="219"/>
      <c r="D290" s="871"/>
      <c r="E290" s="672"/>
      <c r="F290" s="672"/>
      <c r="G290" s="739"/>
    </row>
    <row r="291" spans="1:7" ht="20.25" customHeight="1">
      <c r="A291" s="12"/>
      <c r="B291" s="12"/>
      <c r="C291" s="219"/>
      <c r="D291" s="871"/>
      <c r="E291" s="672"/>
      <c r="F291" s="672"/>
      <c r="G291" s="739"/>
    </row>
    <row r="292" spans="1:7" ht="20.25" customHeight="1">
      <c r="A292" s="12"/>
      <c r="B292" s="12"/>
      <c r="C292" s="219"/>
      <c r="D292" s="871"/>
      <c r="E292" s="672"/>
      <c r="F292" s="672"/>
      <c r="G292" s="739"/>
    </row>
    <row r="293" spans="1:7" ht="20.25" customHeight="1">
      <c r="A293" s="12"/>
      <c r="B293" s="12"/>
      <c r="C293" s="219"/>
      <c r="D293" s="871"/>
      <c r="E293" s="672"/>
      <c r="F293" s="672"/>
      <c r="G293" s="739"/>
    </row>
    <row r="294" spans="1:7" ht="20.25" customHeight="1">
      <c r="A294" s="12"/>
      <c r="B294" s="12"/>
      <c r="C294" s="219"/>
      <c r="D294" s="871"/>
      <c r="E294" s="672"/>
      <c r="F294" s="672"/>
      <c r="G294" s="739"/>
    </row>
    <row r="295" spans="1:7" ht="20.25" customHeight="1">
      <c r="A295" s="12"/>
      <c r="B295" s="12"/>
      <c r="C295" s="219"/>
      <c r="D295" s="871"/>
      <c r="E295" s="672"/>
      <c r="F295" s="672"/>
      <c r="G295" s="739"/>
    </row>
    <row r="296" spans="1:7" ht="20.25" customHeight="1">
      <c r="A296" s="12"/>
      <c r="B296" s="12"/>
      <c r="C296" s="219"/>
      <c r="D296" s="871"/>
      <c r="E296" s="672"/>
      <c r="F296" s="672"/>
      <c r="G296" s="739"/>
    </row>
    <row r="297" spans="1:7" ht="20.25" customHeight="1">
      <c r="A297" s="12"/>
      <c r="B297" s="12"/>
      <c r="C297" s="219"/>
      <c r="D297" s="871"/>
      <c r="E297" s="672"/>
      <c r="F297" s="672"/>
      <c r="G297" s="739"/>
    </row>
    <row r="298" spans="1:7" ht="20.25" customHeight="1">
      <c r="A298" s="12"/>
      <c r="B298" s="12"/>
      <c r="C298" s="219"/>
      <c r="D298" s="871"/>
      <c r="E298" s="672"/>
      <c r="F298" s="672"/>
      <c r="G298" s="739"/>
    </row>
    <row r="299" spans="1:7" ht="20.25" customHeight="1">
      <c r="A299" s="12"/>
      <c r="B299" s="12"/>
      <c r="C299" s="219"/>
      <c r="D299" s="871"/>
      <c r="E299" s="672"/>
      <c r="F299" s="672"/>
      <c r="G299" s="739"/>
    </row>
    <row r="300" spans="1:7" ht="20.25" customHeight="1">
      <c r="A300" s="12"/>
      <c r="B300" s="12"/>
      <c r="C300" s="219"/>
      <c r="D300" s="871"/>
      <c r="E300" s="672"/>
      <c r="F300" s="672"/>
      <c r="G300" s="739"/>
    </row>
    <row r="301" spans="1:7" ht="20.25" customHeight="1">
      <c r="A301" s="12"/>
      <c r="B301" s="12"/>
      <c r="C301" s="219"/>
      <c r="D301" s="871"/>
      <c r="E301" s="672"/>
      <c r="F301" s="672"/>
      <c r="G301" s="739"/>
    </row>
    <row r="302" spans="1:7" ht="20.25" customHeight="1">
      <c r="A302" s="12"/>
      <c r="B302" s="12"/>
      <c r="C302" s="219"/>
      <c r="D302" s="871"/>
      <c r="E302" s="672"/>
      <c r="F302" s="672"/>
      <c r="G302" s="739"/>
    </row>
    <row r="303" spans="1:7" ht="20.25" customHeight="1">
      <c r="A303" s="12"/>
      <c r="B303" s="12"/>
      <c r="C303" s="219"/>
      <c r="D303" s="871"/>
      <c r="E303" s="672"/>
      <c r="F303" s="672"/>
      <c r="G303" s="739"/>
    </row>
    <row r="304" spans="1:7" ht="20.25" customHeight="1">
      <c r="A304" s="12"/>
      <c r="B304" s="12"/>
      <c r="C304" s="219"/>
      <c r="D304" s="871"/>
      <c r="E304" s="672"/>
      <c r="F304" s="672"/>
      <c r="G304" s="739"/>
    </row>
    <row r="305" spans="1:7" ht="20.25" customHeight="1">
      <c r="A305" s="12"/>
      <c r="B305" s="12"/>
      <c r="C305" s="219"/>
      <c r="D305" s="871"/>
      <c r="E305" s="672"/>
      <c r="F305" s="672"/>
      <c r="G305" s="739"/>
    </row>
    <row r="306" spans="1:7" ht="20.25" customHeight="1">
      <c r="A306" s="12"/>
      <c r="B306" s="12"/>
      <c r="C306" s="219"/>
      <c r="D306" s="871"/>
      <c r="E306" s="672"/>
      <c r="F306" s="672"/>
      <c r="G306" s="739"/>
    </row>
    <row r="307" spans="1:7" ht="20.25" customHeight="1">
      <c r="A307" s="12"/>
      <c r="B307" s="12"/>
      <c r="C307" s="219"/>
      <c r="D307" s="871"/>
      <c r="E307" s="672"/>
      <c r="F307" s="672"/>
      <c r="G307" s="739"/>
    </row>
    <row r="308" spans="1:7" ht="20.25" customHeight="1">
      <c r="A308" s="12"/>
      <c r="B308" s="12"/>
      <c r="C308" s="219"/>
      <c r="D308" s="871"/>
      <c r="E308" s="672"/>
      <c r="F308" s="672"/>
      <c r="G308" s="739"/>
    </row>
    <row r="309" spans="1:7" ht="20.25" customHeight="1">
      <c r="A309" s="12"/>
      <c r="B309" s="12"/>
      <c r="C309" s="219"/>
      <c r="D309" s="871"/>
      <c r="E309" s="672"/>
      <c r="F309" s="672"/>
      <c r="G309" s="739"/>
    </row>
    <row r="310" spans="1:7" ht="20.25" customHeight="1">
      <c r="A310" s="12"/>
      <c r="B310" s="12"/>
      <c r="C310" s="219"/>
      <c r="D310" s="871"/>
      <c r="E310" s="672"/>
      <c r="F310" s="672"/>
      <c r="G310" s="739"/>
    </row>
    <row r="311" spans="1:7" ht="20.25" customHeight="1">
      <c r="A311" s="12"/>
      <c r="B311" s="12"/>
      <c r="C311" s="219"/>
      <c r="D311" s="871"/>
      <c r="E311" s="672"/>
      <c r="F311" s="672"/>
      <c r="G311" s="739"/>
    </row>
    <row r="312" spans="1:7" ht="20.25" customHeight="1">
      <c r="A312" s="12"/>
      <c r="B312" s="12"/>
      <c r="C312" s="219"/>
      <c r="D312" s="871"/>
      <c r="E312" s="672"/>
      <c r="F312" s="672"/>
      <c r="G312" s="739"/>
    </row>
    <row r="313" spans="1:7" ht="20.25" customHeight="1">
      <c r="A313" s="12"/>
      <c r="B313" s="12"/>
      <c r="C313" s="219"/>
      <c r="D313" s="871"/>
      <c r="E313" s="672"/>
      <c r="F313" s="672"/>
      <c r="G313" s="739"/>
    </row>
    <row r="314" spans="1:7" ht="20.25" customHeight="1">
      <c r="A314" s="12"/>
      <c r="B314" s="12"/>
      <c r="C314" s="219"/>
      <c r="D314" s="871"/>
      <c r="E314" s="672"/>
      <c r="F314" s="672"/>
      <c r="G314" s="739"/>
    </row>
    <row r="315" spans="1:7" ht="20.25" customHeight="1">
      <c r="A315" s="12"/>
      <c r="B315" s="12"/>
      <c r="C315" s="219"/>
      <c r="D315" s="871"/>
      <c r="E315" s="672"/>
      <c r="F315" s="672"/>
      <c r="G315" s="739"/>
    </row>
    <row r="316" spans="1:7" ht="20.25" customHeight="1">
      <c r="A316" s="12"/>
      <c r="B316" s="12"/>
      <c r="C316" s="219"/>
      <c r="D316" s="871"/>
      <c r="E316" s="672"/>
      <c r="F316" s="672"/>
      <c r="G316" s="739"/>
    </row>
    <row r="317" spans="1:7" ht="20.25" customHeight="1">
      <c r="A317" s="12"/>
      <c r="B317" s="12"/>
      <c r="C317" s="219"/>
      <c r="D317" s="871"/>
      <c r="E317" s="672"/>
      <c r="F317" s="672"/>
      <c r="G317" s="739"/>
    </row>
    <row r="318" spans="1:7" ht="20.25" customHeight="1">
      <c r="A318" s="12"/>
      <c r="B318" s="12"/>
      <c r="C318" s="219"/>
      <c r="D318" s="871"/>
      <c r="E318" s="672"/>
      <c r="F318" s="672"/>
      <c r="G318" s="739"/>
    </row>
    <row r="319" spans="1:7" ht="20.25" customHeight="1">
      <c r="A319" s="12"/>
      <c r="B319" s="12"/>
      <c r="C319" s="219"/>
      <c r="D319" s="871"/>
      <c r="E319" s="672"/>
      <c r="F319" s="672"/>
      <c r="G319" s="739"/>
    </row>
    <row r="320" spans="1:7" ht="20.25" customHeight="1">
      <c r="A320" s="12"/>
      <c r="B320" s="12"/>
      <c r="C320" s="219"/>
      <c r="D320" s="871"/>
      <c r="E320" s="672"/>
      <c r="F320" s="672"/>
      <c r="G320" s="739"/>
    </row>
    <row r="321" spans="1:7" ht="20.25" customHeight="1">
      <c r="A321" s="12"/>
      <c r="B321" s="12"/>
      <c r="C321" s="219"/>
      <c r="D321" s="871"/>
      <c r="E321" s="672"/>
      <c r="F321" s="672"/>
      <c r="G321" s="739"/>
    </row>
    <row r="322" spans="1:7" ht="20.25" customHeight="1">
      <c r="A322" s="12"/>
      <c r="B322" s="12"/>
      <c r="C322" s="219"/>
      <c r="D322" s="871"/>
      <c r="E322" s="672"/>
      <c r="F322" s="672"/>
      <c r="G322" s="739"/>
    </row>
    <row r="323" spans="1:7" ht="20.25" customHeight="1">
      <c r="A323" s="12"/>
      <c r="B323" s="12"/>
      <c r="C323" s="219"/>
      <c r="D323" s="871"/>
      <c r="E323" s="672"/>
      <c r="F323" s="672"/>
      <c r="G323" s="739"/>
    </row>
    <row r="324" spans="1:7" ht="20.25" customHeight="1">
      <c r="A324" s="12"/>
      <c r="B324" s="12"/>
      <c r="C324" s="219"/>
      <c r="D324" s="871"/>
      <c r="E324" s="672"/>
      <c r="F324" s="672"/>
      <c r="G324" s="739"/>
    </row>
    <row r="325" spans="1:7" ht="20.25" customHeight="1">
      <c r="A325" s="12"/>
      <c r="B325" s="12"/>
      <c r="C325" s="219"/>
      <c r="D325" s="871"/>
      <c r="E325" s="672"/>
      <c r="F325" s="672"/>
      <c r="G325" s="739"/>
    </row>
    <row r="326" spans="1:7" ht="20.25" customHeight="1">
      <c r="A326" s="12"/>
      <c r="B326" s="12"/>
      <c r="C326" s="219"/>
      <c r="D326" s="871"/>
      <c r="E326" s="672"/>
      <c r="F326" s="672"/>
      <c r="G326" s="739"/>
    </row>
    <row r="327" spans="1:7" ht="20.25" customHeight="1">
      <c r="A327" s="12"/>
      <c r="B327" s="12"/>
      <c r="C327" s="219"/>
      <c r="D327" s="871"/>
      <c r="E327" s="672"/>
      <c r="F327" s="672"/>
      <c r="G327" s="739"/>
    </row>
    <row r="328" spans="1:7" ht="20.25" customHeight="1">
      <c r="A328" s="12"/>
      <c r="B328" s="12"/>
      <c r="C328" s="219"/>
      <c r="D328" s="871"/>
      <c r="E328" s="672"/>
      <c r="F328" s="672"/>
      <c r="G328" s="739"/>
    </row>
    <row r="329" spans="1:7" ht="20.25" customHeight="1">
      <c r="A329" s="12"/>
      <c r="B329" s="12"/>
      <c r="C329" s="219"/>
      <c r="D329" s="871"/>
      <c r="E329" s="672"/>
      <c r="F329" s="672"/>
      <c r="G329" s="739"/>
    </row>
    <row r="330" spans="1:7" ht="20.25" customHeight="1">
      <c r="A330" s="12"/>
      <c r="B330" s="12"/>
      <c r="C330" s="219"/>
      <c r="D330" s="871"/>
      <c r="E330" s="672"/>
      <c r="F330" s="672"/>
      <c r="G330" s="739"/>
    </row>
    <row r="331" spans="1:7" ht="20.25" customHeight="1">
      <c r="A331" s="12"/>
      <c r="B331" s="12"/>
      <c r="C331" s="219"/>
      <c r="D331" s="871"/>
      <c r="E331" s="672"/>
      <c r="F331" s="672"/>
      <c r="G331" s="739"/>
    </row>
    <row r="332" spans="1:7" ht="20.25" customHeight="1">
      <c r="A332" s="12"/>
      <c r="B332" s="12"/>
      <c r="C332" s="219"/>
      <c r="D332" s="871"/>
      <c r="E332" s="672"/>
      <c r="F332" s="672"/>
      <c r="G332" s="739"/>
    </row>
    <row r="333" spans="1:7" ht="20.25" customHeight="1">
      <c r="A333" s="12"/>
      <c r="B333" s="12"/>
      <c r="C333" s="219"/>
      <c r="D333" s="871"/>
      <c r="E333" s="672"/>
      <c r="F333" s="672"/>
      <c r="G333" s="739"/>
    </row>
    <row r="334" spans="1:7" ht="20.25" customHeight="1">
      <c r="A334" s="12"/>
      <c r="B334" s="12"/>
      <c r="C334" s="219"/>
      <c r="D334" s="871"/>
      <c r="E334" s="672"/>
      <c r="F334" s="672"/>
      <c r="G334" s="739"/>
    </row>
    <row r="335" spans="1:7" ht="20.25" customHeight="1">
      <c r="A335" s="12"/>
      <c r="B335" s="12"/>
      <c r="C335" s="219"/>
      <c r="D335" s="871"/>
      <c r="E335" s="672"/>
      <c r="F335" s="672"/>
      <c r="G335" s="739"/>
    </row>
    <row r="336" spans="1:7" ht="20.25" customHeight="1">
      <c r="A336" s="12"/>
      <c r="B336" s="12"/>
      <c r="C336" s="219"/>
      <c r="D336" s="871"/>
      <c r="E336" s="672"/>
      <c r="F336" s="672"/>
      <c r="G336" s="739"/>
    </row>
    <row r="337" spans="1:7" ht="20.25" customHeight="1">
      <c r="A337" s="12"/>
      <c r="B337" s="12"/>
      <c r="C337" s="219"/>
      <c r="D337" s="871"/>
      <c r="E337" s="672"/>
      <c r="F337" s="672"/>
      <c r="G337" s="739"/>
    </row>
    <row r="338" spans="1:7" ht="20.25" customHeight="1">
      <c r="A338" s="12"/>
      <c r="B338" s="12"/>
      <c r="C338" s="219"/>
      <c r="D338" s="871"/>
      <c r="E338" s="672"/>
      <c r="F338" s="672"/>
      <c r="G338" s="739"/>
    </row>
    <row r="339" spans="1:7" ht="20.25" customHeight="1">
      <c r="A339" s="12"/>
      <c r="B339" s="12"/>
      <c r="C339" s="219"/>
      <c r="D339" s="871"/>
      <c r="E339" s="672"/>
      <c r="F339" s="672"/>
      <c r="G339" s="739"/>
    </row>
    <row r="340" spans="1:7" ht="20.25" customHeight="1">
      <c r="A340" s="12"/>
      <c r="B340" s="12"/>
      <c r="C340" s="219"/>
      <c r="D340" s="871"/>
      <c r="E340" s="672"/>
      <c r="F340" s="672"/>
      <c r="G340" s="739"/>
    </row>
    <row r="341" spans="1:7" ht="20.25" customHeight="1">
      <c r="A341" s="12"/>
      <c r="B341" s="12"/>
      <c r="C341" s="219"/>
      <c r="D341" s="871"/>
      <c r="E341" s="672"/>
      <c r="F341" s="672"/>
      <c r="G341" s="739"/>
    </row>
    <row r="342" spans="1:7" ht="20.25" customHeight="1">
      <c r="A342" s="12"/>
      <c r="B342" s="12"/>
      <c r="C342" s="219"/>
      <c r="D342" s="871"/>
      <c r="E342" s="672"/>
      <c r="F342" s="672"/>
      <c r="G342" s="739"/>
    </row>
    <row r="343" spans="1:7" ht="20.25" customHeight="1">
      <c r="A343" s="12"/>
      <c r="B343" s="12"/>
      <c r="C343" s="219"/>
      <c r="D343" s="871"/>
      <c r="E343" s="672"/>
      <c r="F343" s="672"/>
      <c r="G343" s="739"/>
    </row>
    <row r="344" spans="1:7" ht="20.25" customHeight="1">
      <c r="A344" s="12"/>
      <c r="B344" s="12"/>
      <c r="C344" s="219"/>
      <c r="D344" s="871"/>
      <c r="E344" s="672"/>
      <c r="F344" s="672"/>
      <c r="G344" s="739"/>
    </row>
    <row r="345" spans="1:7" ht="20.25" customHeight="1">
      <c r="A345" s="12"/>
      <c r="B345" s="12"/>
      <c r="C345" s="219"/>
      <c r="D345" s="871"/>
      <c r="E345" s="672"/>
      <c r="F345" s="672"/>
      <c r="G345" s="739"/>
    </row>
    <row r="346" spans="1:7" ht="20.25" customHeight="1">
      <c r="A346" s="12"/>
      <c r="B346" s="12"/>
      <c r="C346" s="219"/>
      <c r="D346" s="871"/>
      <c r="E346" s="672"/>
      <c r="F346" s="672"/>
      <c r="G346" s="739"/>
    </row>
    <row r="347" spans="1:7" ht="20.25" customHeight="1">
      <c r="A347" s="12"/>
      <c r="B347" s="12"/>
      <c r="C347" s="219"/>
      <c r="D347" s="871"/>
      <c r="E347" s="672"/>
      <c r="F347" s="672"/>
      <c r="G347" s="739"/>
    </row>
    <row r="348" spans="1:7" ht="20.25" customHeight="1">
      <c r="A348" s="12"/>
      <c r="B348" s="12"/>
      <c r="C348" s="219"/>
      <c r="D348" s="871"/>
      <c r="E348" s="672"/>
      <c r="F348" s="672"/>
      <c r="G348" s="739"/>
    </row>
    <row r="349" spans="1:7" ht="20.25" customHeight="1">
      <c r="A349" s="12"/>
      <c r="B349" s="12"/>
      <c r="C349" s="219"/>
      <c r="D349" s="871"/>
      <c r="E349" s="672"/>
      <c r="F349" s="672"/>
      <c r="G349" s="739"/>
    </row>
    <row r="350" spans="1:7" ht="20.25" customHeight="1">
      <c r="A350" s="12"/>
      <c r="B350" s="12"/>
      <c r="C350" s="219"/>
      <c r="D350" s="871"/>
      <c r="E350" s="672"/>
      <c r="F350" s="672"/>
      <c r="G350" s="739"/>
    </row>
    <row r="351" spans="1:7" ht="20.25" customHeight="1">
      <c r="A351" s="12"/>
      <c r="B351" s="12"/>
      <c r="C351" s="219"/>
      <c r="D351" s="871"/>
      <c r="E351" s="672"/>
      <c r="F351" s="672"/>
      <c r="G351" s="739"/>
    </row>
    <row r="352" spans="1:7" ht="20.25" customHeight="1">
      <c r="A352" s="12"/>
      <c r="B352" s="12"/>
      <c r="C352" s="219"/>
      <c r="D352" s="871"/>
      <c r="E352" s="672"/>
      <c r="F352" s="672"/>
      <c r="G352" s="739"/>
    </row>
    <row r="353" spans="1:7" ht="20.25" customHeight="1">
      <c r="A353" s="12"/>
      <c r="B353" s="12"/>
      <c r="C353" s="219"/>
      <c r="D353" s="871"/>
      <c r="E353" s="672"/>
      <c r="F353" s="672"/>
      <c r="G353" s="739"/>
    </row>
    <row r="354" spans="1:7" ht="20.25" customHeight="1">
      <c r="A354" s="12"/>
      <c r="B354" s="12"/>
      <c r="C354" s="219"/>
      <c r="D354" s="871"/>
      <c r="E354" s="672"/>
      <c r="F354" s="672"/>
      <c r="G354" s="739"/>
    </row>
    <row r="355" spans="1:7" ht="20.25" customHeight="1">
      <c r="A355" s="12"/>
      <c r="B355" s="12"/>
      <c r="C355" s="219"/>
      <c r="D355" s="871"/>
      <c r="E355" s="672"/>
      <c r="F355" s="672"/>
      <c r="G355" s="739"/>
    </row>
    <row r="356" spans="1:7" ht="20.25" customHeight="1">
      <c r="A356" s="12"/>
      <c r="B356" s="12"/>
      <c r="C356" s="219"/>
      <c r="D356" s="871"/>
      <c r="E356" s="672"/>
      <c r="F356" s="672"/>
      <c r="G356" s="739"/>
    </row>
    <row r="357" spans="1:7" ht="20.25" customHeight="1">
      <c r="A357" s="12"/>
      <c r="B357" s="12"/>
      <c r="C357" s="219"/>
      <c r="D357" s="871"/>
      <c r="E357" s="672"/>
      <c r="F357" s="672"/>
      <c r="G357" s="739"/>
    </row>
    <row r="358" spans="1:7" ht="20.25" customHeight="1">
      <c r="A358" s="12"/>
      <c r="B358" s="12"/>
      <c r="C358" s="219"/>
      <c r="D358" s="871"/>
      <c r="E358" s="672"/>
      <c r="F358" s="672"/>
      <c r="G358" s="739"/>
    </row>
    <row r="359" spans="1:7" ht="20.25" customHeight="1">
      <c r="A359" s="12"/>
      <c r="B359" s="12"/>
      <c r="C359" s="219"/>
      <c r="D359" s="871"/>
      <c r="E359" s="672"/>
      <c r="F359" s="672"/>
      <c r="G359" s="739"/>
    </row>
    <row r="360" spans="1:7" ht="20.25" customHeight="1">
      <c r="A360" s="12"/>
      <c r="B360" s="12"/>
      <c r="C360" s="219"/>
      <c r="D360" s="871"/>
      <c r="E360" s="672"/>
      <c r="F360" s="672"/>
      <c r="G360" s="739"/>
    </row>
    <row r="361" spans="1:7" ht="20.25" customHeight="1">
      <c r="A361" s="12"/>
      <c r="B361" s="12"/>
      <c r="C361" s="219"/>
      <c r="D361" s="871"/>
      <c r="E361" s="672"/>
      <c r="F361" s="672"/>
      <c r="G361" s="739"/>
    </row>
    <row r="362" spans="1:7" ht="20.25" customHeight="1">
      <c r="A362" s="12"/>
      <c r="B362" s="12"/>
      <c r="C362" s="219"/>
      <c r="D362" s="871"/>
      <c r="E362" s="672"/>
      <c r="F362" s="672"/>
      <c r="G362" s="739"/>
    </row>
    <row r="363" spans="1:7" ht="20.25" customHeight="1">
      <c r="A363" s="12"/>
      <c r="B363" s="12"/>
      <c r="C363" s="219"/>
      <c r="D363" s="871"/>
      <c r="E363" s="672"/>
      <c r="F363" s="672"/>
      <c r="G363" s="739"/>
    </row>
    <row r="364" spans="1:7" ht="20.25" customHeight="1">
      <c r="A364" s="12"/>
      <c r="B364" s="12"/>
      <c r="C364" s="219"/>
      <c r="D364" s="871"/>
      <c r="E364" s="672"/>
      <c r="F364" s="672"/>
      <c r="G364" s="739"/>
    </row>
    <row r="365" spans="1:7" ht="20.25" customHeight="1">
      <c r="A365" s="12"/>
      <c r="B365" s="12"/>
      <c r="C365" s="219"/>
      <c r="D365" s="871"/>
      <c r="E365" s="672"/>
      <c r="F365" s="672"/>
      <c r="G365" s="739"/>
    </row>
    <row r="366" spans="1:7" ht="20.25" customHeight="1">
      <c r="A366" s="12"/>
      <c r="B366" s="12"/>
      <c r="C366" s="219"/>
      <c r="D366" s="871"/>
      <c r="E366" s="672"/>
      <c r="F366" s="672"/>
      <c r="G366" s="739"/>
    </row>
    <row r="367" spans="1:7" ht="20.25" customHeight="1">
      <c r="A367" s="12"/>
      <c r="B367" s="12"/>
      <c r="C367" s="219"/>
      <c r="D367" s="871"/>
      <c r="E367" s="672"/>
      <c r="F367" s="672"/>
      <c r="G367" s="739"/>
    </row>
    <row r="368" spans="1:7" ht="20.25" customHeight="1">
      <c r="A368" s="12"/>
      <c r="B368" s="12"/>
      <c r="C368" s="219"/>
      <c r="D368" s="871"/>
      <c r="E368" s="672"/>
      <c r="F368" s="672"/>
      <c r="G368" s="739"/>
    </row>
    <row r="369" spans="1:7" ht="20.25" customHeight="1">
      <c r="A369" s="12"/>
      <c r="B369" s="12"/>
      <c r="C369" s="219"/>
      <c r="D369" s="871"/>
      <c r="E369" s="672"/>
      <c r="F369" s="672"/>
      <c r="G369" s="739"/>
    </row>
    <row r="370" spans="1:7" ht="20.25" customHeight="1">
      <c r="A370" s="12"/>
      <c r="B370" s="12"/>
      <c r="C370" s="219"/>
      <c r="D370" s="871"/>
      <c r="E370" s="672"/>
      <c r="F370" s="672"/>
      <c r="G370" s="739"/>
    </row>
    <row r="371" spans="1:7" ht="20.25" customHeight="1">
      <c r="A371" s="12"/>
      <c r="B371" s="12"/>
      <c r="C371" s="219"/>
      <c r="D371" s="871"/>
      <c r="E371" s="672"/>
      <c r="F371" s="672"/>
      <c r="G371" s="739"/>
    </row>
    <row r="372" spans="1:7" ht="20.25" customHeight="1">
      <c r="A372" s="12"/>
      <c r="B372" s="12"/>
      <c r="C372" s="219"/>
      <c r="D372" s="871"/>
      <c r="E372" s="672"/>
      <c r="F372" s="672"/>
      <c r="G372" s="739"/>
    </row>
    <row r="373" spans="1:7" ht="20.25" customHeight="1">
      <c r="A373" s="12"/>
      <c r="B373" s="12"/>
      <c r="C373" s="219"/>
      <c r="D373" s="871"/>
      <c r="E373" s="672"/>
      <c r="F373" s="672"/>
      <c r="G373" s="739"/>
    </row>
    <row r="374" spans="1:7" ht="20.25" customHeight="1">
      <c r="A374" s="12"/>
      <c r="B374" s="12"/>
      <c r="C374" s="219"/>
      <c r="D374" s="871"/>
      <c r="E374" s="672"/>
      <c r="F374" s="672"/>
      <c r="G374" s="739"/>
    </row>
    <row r="375" spans="1:7" ht="20.25" customHeight="1">
      <c r="A375" s="12"/>
      <c r="B375" s="12"/>
      <c r="C375" s="219"/>
      <c r="D375" s="871"/>
      <c r="E375" s="672"/>
      <c r="F375" s="672"/>
      <c r="G375" s="739"/>
    </row>
    <row r="376" spans="1:7" ht="20.25" customHeight="1">
      <c r="A376" s="12"/>
      <c r="B376" s="12"/>
      <c r="C376" s="219"/>
      <c r="D376" s="871"/>
      <c r="E376" s="672"/>
      <c r="F376" s="672"/>
      <c r="G376" s="739"/>
    </row>
    <row r="377" spans="1:7" ht="20.25" customHeight="1">
      <c r="A377" s="12"/>
      <c r="B377" s="12"/>
      <c r="C377" s="219"/>
      <c r="D377" s="871"/>
      <c r="E377" s="672"/>
      <c r="F377" s="672"/>
      <c r="G377" s="739"/>
    </row>
    <row r="378" spans="1:7" ht="20.25" customHeight="1">
      <c r="A378" s="12"/>
      <c r="B378" s="12"/>
      <c r="C378" s="219"/>
      <c r="D378" s="871"/>
      <c r="E378" s="672"/>
      <c r="F378" s="672"/>
      <c r="G378" s="739"/>
    </row>
    <row r="379" spans="1:7" ht="20.25" customHeight="1">
      <c r="A379" s="12"/>
      <c r="B379" s="12"/>
      <c r="C379" s="219"/>
      <c r="D379" s="871"/>
      <c r="E379" s="672"/>
      <c r="F379" s="672"/>
      <c r="G379" s="739"/>
    </row>
    <row r="380" spans="1:7" ht="20.25" customHeight="1">
      <c r="A380" s="12"/>
      <c r="B380" s="12"/>
      <c r="C380" s="219"/>
      <c r="D380" s="871"/>
      <c r="E380" s="672"/>
      <c r="F380" s="672"/>
      <c r="G380" s="739"/>
    </row>
    <row r="381" spans="1:7" ht="20.25" customHeight="1">
      <c r="A381" s="12"/>
      <c r="B381" s="12"/>
      <c r="C381" s="219"/>
      <c r="D381" s="871"/>
      <c r="E381" s="672"/>
      <c r="F381" s="672"/>
      <c r="G381" s="739"/>
    </row>
    <row r="382" spans="1:7" ht="20.25" customHeight="1">
      <c r="A382" s="12"/>
      <c r="B382" s="12"/>
      <c r="C382" s="219"/>
      <c r="D382" s="871"/>
      <c r="E382" s="672"/>
      <c r="F382" s="672"/>
      <c r="G382" s="739"/>
    </row>
    <row r="383" spans="1:7" ht="20.25" customHeight="1">
      <c r="A383" s="12"/>
      <c r="B383" s="12"/>
      <c r="C383" s="219"/>
      <c r="D383" s="871"/>
      <c r="E383" s="672"/>
      <c r="F383" s="672"/>
      <c r="G383" s="739"/>
    </row>
    <row r="384" spans="1:7" ht="20.25" customHeight="1">
      <c r="A384" s="12"/>
      <c r="B384" s="12"/>
      <c r="C384" s="219"/>
      <c r="D384" s="871"/>
      <c r="E384" s="672"/>
      <c r="F384" s="672"/>
      <c r="G384" s="739"/>
    </row>
    <row r="385" spans="1:7" ht="20.25" customHeight="1">
      <c r="A385" s="12"/>
      <c r="B385" s="12"/>
      <c r="C385" s="219"/>
      <c r="D385" s="871"/>
      <c r="E385" s="672"/>
      <c r="F385" s="672"/>
      <c r="G385" s="739"/>
    </row>
    <row r="386" spans="1:7" ht="20.25" customHeight="1">
      <c r="A386" s="12"/>
      <c r="B386" s="12"/>
      <c r="C386" s="219"/>
      <c r="D386" s="871"/>
      <c r="E386" s="672"/>
      <c r="F386" s="672"/>
      <c r="G386" s="739"/>
    </row>
    <row r="387" spans="1:7" ht="20.25" customHeight="1">
      <c r="A387" s="12"/>
      <c r="B387" s="12"/>
      <c r="C387" s="219"/>
      <c r="D387" s="871"/>
      <c r="E387" s="672"/>
      <c r="F387" s="672"/>
      <c r="G387" s="739"/>
    </row>
    <row r="388" spans="1:7" ht="20.25" customHeight="1">
      <c r="A388" s="12"/>
      <c r="B388" s="12"/>
      <c r="C388" s="219"/>
      <c r="D388" s="871"/>
      <c r="E388" s="672"/>
      <c r="F388" s="672"/>
      <c r="G388" s="739"/>
    </row>
    <row r="389" spans="1:7" ht="20.25" customHeight="1">
      <c r="A389" s="12"/>
      <c r="B389" s="12"/>
      <c r="C389" s="219"/>
      <c r="D389" s="871"/>
      <c r="E389" s="672"/>
      <c r="F389" s="672"/>
      <c r="G389" s="739"/>
    </row>
    <row r="390" spans="1:7" ht="20.25" customHeight="1">
      <c r="A390" s="12"/>
      <c r="B390" s="12"/>
      <c r="C390" s="219"/>
      <c r="D390" s="871"/>
      <c r="E390" s="672"/>
      <c r="F390" s="672"/>
      <c r="G390" s="739"/>
    </row>
    <row r="391" spans="1:7" ht="20.25" customHeight="1">
      <c r="A391" s="12"/>
      <c r="B391" s="12"/>
      <c r="C391" s="219"/>
      <c r="D391" s="871"/>
      <c r="E391" s="672"/>
      <c r="F391" s="672"/>
      <c r="G391" s="739"/>
    </row>
    <row r="392" spans="1:7" ht="20.25" customHeight="1">
      <c r="A392" s="12"/>
      <c r="B392" s="12"/>
      <c r="C392" s="219"/>
      <c r="D392" s="871"/>
      <c r="E392" s="672"/>
      <c r="F392" s="672"/>
      <c r="G392" s="739"/>
    </row>
    <row r="393" spans="5:7" ht="20.25" customHeight="1">
      <c r="E393" s="672"/>
      <c r="F393" s="672"/>
      <c r="G393" s="739"/>
    </row>
    <row r="394" spans="5:7" ht="20.25" customHeight="1">
      <c r="E394" s="672"/>
      <c r="F394" s="672"/>
      <c r="G394" s="739"/>
    </row>
    <row r="395" spans="5:7" ht="20.25" customHeight="1">
      <c r="E395" s="672"/>
      <c r="F395" s="672"/>
      <c r="G395" s="739"/>
    </row>
    <row r="396" spans="5:7" ht="20.25" customHeight="1">
      <c r="E396" s="672"/>
      <c r="F396" s="672"/>
      <c r="G396" s="739"/>
    </row>
    <row r="397" spans="5:7" ht="20.25" customHeight="1">
      <c r="E397" s="672"/>
      <c r="F397" s="672"/>
      <c r="G397" s="739"/>
    </row>
    <row r="398" spans="5:7" ht="20.25" customHeight="1">
      <c r="E398" s="672"/>
      <c r="F398" s="672"/>
      <c r="G398" s="739"/>
    </row>
    <row r="399" spans="5:7" ht="20.25" customHeight="1">
      <c r="E399" s="672"/>
      <c r="F399" s="672"/>
      <c r="G399" s="739"/>
    </row>
    <row r="400" spans="5:7" ht="20.25" customHeight="1">
      <c r="E400" s="672"/>
      <c r="F400" s="672"/>
      <c r="G400" s="739"/>
    </row>
    <row r="401" spans="5:7" ht="20.25" customHeight="1">
      <c r="E401" s="672"/>
      <c r="F401" s="672"/>
      <c r="G401" s="739"/>
    </row>
    <row r="402" spans="5:7" ht="20.25" customHeight="1">
      <c r="E402" s="672"/>
      <c r="F402" s="672"/>
      <c r="G402" s="739"/>
    </row>
    <row r="403" spans="5:7" ht="20.25" customHeight="1">
      <c r="E403" s="672"/>
      <c r="F403" s="672"/>
      <c r="G403" s="739"/>
    </row>
    <row r="404" spans="5:7" ht="20.25" customHeight="1">
      <c r="E404" s="672"/>
      <c r="F404" s="672"/>
      <c r="G404" s="739"/>
    </row>
    <row r="405" spans="5:7" ht="20.25" customHeight="1">
      <c r="E405" s="672"/>
      <c r="F405" s="672"/>
      <c r="G405" s="739"/>
    </row>
    <row r="406" spans="5:7" ht="20.25" customHeight="1">
      <c r="E406" s="672"/>
      <c r="F406" s="672"/>
      <c r="G406" s="739"/>
    </row>
    <row r="407" spans="5:7" ht="20.25" customHeight="1">
      <c r="E407" s="672"/>
      <c r="F407" s="672"/>
      <c r="G407" s="739"/>
    </row>
    <row r="408" spans="5:7" ht="20.25" customHeight="1">
      <c r="E408" s="672"/>
      <c r="F408" s="672"/>
      <c r="G408" s="739"/>
    </row>
    <row r="409" spans="5:7" ht="20.25" customHeight="1">
      <c r="E409" s="672"/>
      <c r="F409" s="672"/>
      <c r="G409" s="739"/>
    </row>
    <row r="410" spans="5:7" ht="20.25" customHeight="1">
      <c r="E410" s="672"/>
      <c r="F410" s="672"/>
      <c r="G410" s="739"/>
    </row>
    <row r="411" spans="5:7" ht="20.25" customHeight="1">
      <c r="E411" s="672"/>
      <c r="F411" s="672"/>
      <c r="G411" s="739"/>
    </row>
    <row r="412" spans="5:7" ht="20.25" customHeight="1">
      <c r="E412" s="672"/>
      <c r="F412" s="672"/>
      <c r="G412" s="739"/>
    </row>
    <row r="413" spans="5:7" ht="20.25" customHeight="1">
      <c r="E413" s="672"/>
      <c r="F413" s="672"/>
      <c r="G413" s="739"/>
    </row>
    <row r="414" spans="5:7" ht="20.25" customHeight="1">
      <c r="E414" s="672"/>
      <c r="F414" s="672"/>
      <c r="G414" s="739"/>
    </row>
    <row r="415" spans="5:7" ht="20.25" customHeight="1">
      <c r="E415" s="672"/>
      <c r="F415" s="672"/>
      <c r="G415" s="739"/>
    </row>
    <row r="416" spans="5:7" ht="20.25" customHeight="1">
      <c r="E416" s="672"/>
      <c r="F416" s="672"/>
      <c r="G416" s="739"/>
    </row>
    <row r="417" spans="5:7" ht="20.25" customHeight="1">
      <c r="E417" s="672"/>
      <c r="F417" s="672"/>
      <c r="G417" s="739"/>
    </row>
    <row r="418" spans="5:7" ht="20.25" customHeight="1">
      <c r="E418" s="672"/>
      <c r="F418" s="672"/>
      <c r="G418" s="739"/>
    </row>
    <row r="419" spans="5:7" ht="20.25" customHeight="1">
      <c r="E419" s="672"/>
      <c r="F419" s="672"/>
      <c r="G419" s="739"/>
    </row>
    <row r="420" spans="5:7" ht="20.25" customHeight="1">
      <c r="E420" s="672"/>
      <c r="F420" s="672"/>
      <c r="G420" s="739"/>
    </row>
    <row r="421" spans="5:7" ht="20.25" customHeight="1">
      <c r="E421" s="672"/>
      <c r="F421" s="672"/>
      <c r="G421" s="739"/>
    </row>
    <row r="422" spans="5:7" ht="20.25" customHeight="1">
      <c r="E422" s="672"/>
      <c r="F422" s="672"/>
      <c r="G422" s="739"/>
    </row>
    <row r="423" spans="5:7" ht="20.25" customHeight="1">
      <c r="E423" s="672"/>
      <c r="F423" s="672"/>
      <c r="G423" s="739"/>
    </row>
    <row r="424" spans="5:7" ht="20.25" customHeight="1">
      <c r="E424" s="672"/>
      <c r="F424" s="672"/>
      <c r="G424" s="739"/>
    </row>
    <row r="425" spans="5:7" ht="20.25" customHeight="1">
      <c r="E425" s="672"/>
      <c r="F425" s="672"/>
      <c r="G425" s="739"/>
    </row>
    <row r="426" spans="5:7" ht="20.25" customHeight="1">
      <c r="E426" s="672"/>
      <c r="F426" s="672"/>
      <c r="G426" s="739"/>
    </row>
    <row r="427" spans="5:7" ht="20.25" customHeight="1">
      <c r="E427" s="672"/>
      <c r="F427" s="672"/>
      <c r="G427" s="739"/>
    </row>
    <row r="428" spans="5:7" ht="20.25" customHeight="1">
      <c r="E428" s="672"/>
      <c r="F428" s="672"/>
      <c r="G428" s="739"/>
    </row>
    <row r="429" spans="5:7" ht="20.25" customHeight="1">
      <c r="E429" s="672"/>
      <c r="F429" s="672"/>
      <c r="G429" s="739"/>
    </row>
    <row r="430" spans="5:7" ht="20.25" customHeight="1">
      <c r="E430" s="672"/>
      <c r="F430" s="672"/>
      <c r="G430" s="739"/>
    </row>
    <row r="431" spans="5:7" ht="20.25" customHeight="1">
      <c r="E431" s="672"/>
      <c r="F431" s="672"/>
      <c r="G431" s="739"/>
    </row>
    <row r="432" spans="5:7" ht="20.25" customHeight="1">
      <c r="E432" s="672"/>
      <c r="F432" s="672"/>
      <c r="G432" s="739"/>
    </row>
    <row r="433" spans="5:7" ht="20.25" customHeight="1">
      <c r="E433" s="672"/>
      <c r="F433" s="672"/>
      <c r="G433" s="739"/>
    </row>
    <row r="434" spans="5:7" ht="20.25" customHeight="1">
      <c r="E434" s="672"/>
      <c r="F434" s="672"/>
      <c r="G434" s="739"/>
    </row>
    <row r="435" spans="5:7" ht="20.25" customHeight="1">
      <c r="E435" s="672"/>
      <c r="F435" s="672"/>
      <c r="G435" s="739"/>
    </row>
    <row r="436" spans="5:7" ht="20.25" customHeight="1">
      <c r="E436" s="672"/>
      <c r="F436" s="672"/>
      <c r="G436" s="739"/>
    </row>
    <row r="437" spans="5:7" ht="20.25" customHeight="1">
      <c r="E437" s="672"/>
      <c r="F437" s="672"/>
      <c r="G437" s="739"/>
    </row>
    <row r="438" spans="5:7" ht="20.25" customHeight="1">
      <c r="E438" s="672"/>
      <c r="F438" s="672"/>
      <c r="G438" s="739"/>
    </row>
    <row r="439" spans="5:7" ht="20.25" customHeight="1">
      <c r="E439" s="672"/>
      <c r="F439" s="672"/>
      <c r="G439" s="739"/>
    </row>
    <row r="440" spans="5:7" ht="20.25" customHeight="1">
      <c r="E440" s="672"/>
      <c r="F440" s="672"/>
      <c r="G440" s="739"/>
    </row>
    <row r="441" spans="5:7" ht="20.25" customHeight="1">
      <c r="E441" s="672"/>
      <c r="F441" s="672"/>
      <c r="G441" s="739"/>
    </row>
    <row r="442" spans="5:7" ht="20.25" customHeight="1">
      <c r="E442" s="672"/>
      <c r="F442" s="672"/>
      <c r="G442" s="739"/>
    </row>
    <row r="443" spans="5:7" ht="20.25" customHeight="1">
      <c r="E443" s="672"/>
      <c r="F443" s="672"/>
      <c r="G443" s="739"/>
    </row>
    <row r="444" spans="5:7" ht="20.25" customHeight="1">
      <c r="E444" s="672"/>
      <c r="F444" s="672"/>
      <c r="G444" s="739"/>
    </row>
    <row r="445" spans="5:7" ht="20.25" customHeight="1">
      <c r="E445" s="672"/>
      <c r="F445" s="672"/>
      <c r="G445" s="739"/>
    </row>
    <row r="446" spans="5:7" ht="20.25" customHeight="1">
      <c r="E446" s="672"/>
      <c r="F446" s="672"/>
      <c r="G446" s="739"/>
    </row>
    <row r="447" spans="5:7" ht="20.25" customHeight="1">
      <c r="E447" s="672"/>
      <c r="F447" s="672"/>
      <c r="G447" s="739"/>
    </row>
    <row r="448" spans="5:7" ht="20.25" customHeight="1">
      <c r="E448" s="672"/>
      <c r="F448" s="672"/>
      <c r="G448" s="739"/>
    </row>
    <row r="449" spans="5:7" ht="20.25" customHeight="1">
      <c r="E449" s="672"/>
      <c r="F449" s="672"/>
      <c r="G449" s="739"/>
    </row>
    <row r="450" spans="5:7" ht="20.25" customHeight="1">
      <c r="E450" s="672"/>
      <c r="F450" s="672"/>
      <c r="G450" s="739"/>
    </row>
    <row r="451" spans="5:7" ht="20.25" customHeight="1">
      <c r="E451" s="672"/>
      <c r="F451" s="672"/>
      <c r="G451" s="739"/>
    </row>
    <row r="452" spans="5:7" ht="20.25" customHeight="1">
      <c r="E452" s="672"/>
      <c r="F452" s="672"/>
      <c r="G452" s="739"/>
    </row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</sheetData>
  <sheetProtection/>
  <mergeCells count="10">
    <mergeCell ref="E5:E6"/>
    <mergeCell ref="G78:G79"/>
    <mergeCell ref="A1:G1"/>
    <mergeCell ref="F4:G4"/>
    <mergeCell ref="A2:G2"/>
    <mergeCell ref="G5:G6"/>
    <mergeCell ref="A5:C5"/>
    <mergeCell ref="D5:D6"/>
    <mergeCell ref="F5:F6"/>
    <mergeCell ref="A7:A8"/>
  </mergeCells>
  <printOptions horizontalCentered="1"/>
  <pageMargins left="0.3937007874015748" right="0.1968503937007874" top="0.5511811023622047" bottom="0.4330708661417323" header="0.5118110236220472" footer="0.2362204724409449"/>
  <pageSetup horizontalDpi="600" verticalDpi="600" orientation="landscape" paperSize="9" scale="85" r:id="rId1"/>
  <headerFooter alignWithMargins="0">
    <oddFooter>&amp;C&amp;P쪽</oddFooter>
  </headerFooter>
  <rowBreaks count="2" manualBreakCount="2">
    <brk id="37" max="6" man="1"/>
    <brk id="5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636"/>
  <sheetViews>
    <sheetView showGridLines="0" view="pageBreakPreview" zoomScale="80" zoomScaleNormal="85" zoomScaleSheetLayoutView="80" zoomScalePageLayoutView="0" workbookViewId="0" topLeftCell="A1">
      <pane xSplit="3" ySplit="5" topLeftCell="D44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3.5"/>
  <cols>
    <col min="1" max="1" width="10.3359375" style="13" customWidth="1"/>
    <col min="2" max="2" width="9.77734375" style="13" customWidth="1"/>
    <col min="3" max="3" width="10.10546875" style="13" customWidth="1"/>
    <col min="4" max="5" width="14.99609375" style="667" customWidth="1"/>
    <col min="6" max="6" width="12.4453125" style="13" bestFit="1" customWidth="1"/>
    <col min="7" max="7" width="5.77734375" style="743" customWidth="1"/>
    <col min="8" max="8" width="7.6640625" style="743" customWidth="1"/>
    <col min="9" max="9" width="6.3359375" style="743" customWidth="1"/>
    <col min="10" max="10" width="6.10546875" style="743" customWidth="1"/>
    <col min="11" max="11" width="4.4453125" style="743" customWidth="1"/>
    <col min="12" max="12" width="2.10546875" style="743" customWidth="1"/>
    <col min="13" max="13" width="10.4453125" style="743" customWidth="1"/>
    <col min="14" max="14" width="1.33203125" style="744" customWidth="1"/>
    <col min="15" max="15" width="3.88671875" style="744" customWidth="1"/>
    <col min="16" max="16" width="25.5546875" style="744" customWidth="1"/>
    <col min="17" max="17" width="12.88671875" style="1" bestFit="1" customWidth="1"/>
    <col min="18" max="18" width="14.10546875" style="1" bestFit="1" customWidth="1"/>
    <col min="19" max="16384" width="8.88671875" style="1" customWidth="1"/>
  </cols>
  <sheetData>
    <row r="1" spans="1:16" ht="32.25" customHeight="1">
      <c r="A1" s="1326" t="str">
        <f>'(수입-등록금회계)'!A1:G1</f>
        <v>2017학년도 등록금회계 추경예산서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</row>
    <row r="2" spans="1:16" ht="30.75" customHeight="1">
      <c r="A2" s="1334" t="str">
        <f>'(수입-등록금회계)'!A2:G2</f>
        <v>(2017. 3. 1 부터 2018. 2. 28 까지)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</row>
    <row r="3" spans="1:16" ht="25.5" customHeight="1">
      <c r="A3" s="67" t="s">
        <v>224</v>
      </c>
      <c r="D3" s="641"/>
      <c r="E3" s="641"/>
      <c r="F3" s="126"/>
      <c r="O3" s="1384" t="s">
        <v>88</v>
      </c>
      <c r="P3" s="1384"/>
    </row>
    <row r="4" spans="1:16" s="2" customFormat="1" ht="30" customHeight="1">
      <c r="A4" s="14"/>
      <c r="B4" s="15" t="s">
        <v>225</v>
      </c>
      <c r="C4" s="16"/>
      <c r="D4" s="1339" t="s">
        <v>1262</v>
      </c>
      <c r="E4" s="1339" t="s">
        <v>1263</v>
      </c>
      <c r="F4" s="1413" t="s">
        <v>324</v>
      </c>
      <c r="G4" s="1415" t="s">
        <v>9</v>
      </c>
      <c r="H4" s="1416"/>
      <c r="I4" s="1416"/>
      <c r="J4" s="1416"/>
      <c r="K4" s="1416"/>
      <c r="L4" s="1416"/>
      <c r="M4" s="1416"/>
      <c r="N4" s="1416"/>
      <c r="O4" s="1416"/>
      <c r="P4" s="1417"/>
    </row>
    <row r="5" spans="1:16" ht="30" customHeight="1">
      <c r="A5" s="17" t="s">
        <v>226</v>
      </c>
      <c r="B5" s="18" t="s">
        <v>227</v>
      </c>
      <c r="C5" s="18" t="s">
        <v>228</v>
      </c>
      <c r="D5" s="1340"/>
      <c r="E5" s="1340"/>
      <c r="F5" s="1414"/>
      <c r="G5" s="1418"/>
      <c r="H5" s="1419"/>
      <c r="I5" s="1419"/>
      <c r="J5" s="1419"/>
      <c r="K5" s="1419"/>
      <c r="L5" s="1419"/>
      <c r="M5" s="1419"/>
      <c r="N5" s="1419"/>
      <c r="O5" s="1419"/>
      <c r="P5" s="1420"/>
    </row>
    <row r="6" spans="1:16" ht="30" customHeight="1">
      <c r="A6" s="1337" t="s">
        <v>62</v>
      </c>
      <c r="B6" s="19"/>
      <c r="C6" s="19"/>
      <c r="D6" s="642"/>
      <c r="E6" s="642"/>
      <c r="F6" s="299"/>
      <c r="G6" s="745"/>
      <c r="H6" s="746"/>
      <c r="I6" s="746"/>
      <c r="J6" s="746"/>
      <c r="K6" s="746"/>
      <c r="L6" s="746"/>
      <c r="M6" s="746"/>
      <c r="N6" s="747"/>
      <c r="O6" s="747"/>
      <c r="P6" s="748"/>
    </row>
    <row r="7" spans="1:16" ht="30" customHeight="1" thickBot="1">
      <c r="A7" s="1338"/>
      <c r="B7" s="20"/>
      <c r="C7" s="20"/>
      <c r="D7" s="643">
        <f>D9+D87+D386+D499+D515+D523+D529+D551+D600+D610</f>
        <v>63412118</v>
      </c>
      <c r="E7" s="643">
        <f>E9+E87+E386+E499+E515+E523+E529+E551+E600+E610</f>
        <v>60587129</v>
      </c>
      <c r="F7" s="304">
        <f>D7-E7</f>
        <v>2824989</v>
      </c>
      <c r="G7" s="749"/>
      <c r="H7" s="750"/>
      <c r="I7" s="750"/>
      <c r="J7" s="750"/>
      <c r="K7" s="750"/>
      <c r="L7" s="750"/>
      <c r="M7" s="750"/>
      <c r="N7" s="751"/>
      <c r="O7" s="751"/>
      <c r="P7" s="752"/>
    </row>
    <row r="8" spans="1:16" ht="30" customHeight="1" thickTop="1">
      <c r="A8" s="21">
        <v>4100</v>
      </c>
      <c r="B8" s="22"/>
      <c r="C8" s="22"/>
      <c r="D8" s="644"/>
      <c r="E8" s="644"/>
      <c r="F8" s="300"/>
      <c r="G8" s="753"/>
      <c r="H8" s="753"/>
      <c r="I8" s="753"/>
      <c r="J8" s="753"/>
      <c r="K8" s="753"/>
      <c r="L8" s="753"/>
      <c r="M8" s="753"/>
      <c r="N8" s="754"/>
      <c r="O8" s="754"/>
      <c r="P8" s="755"/>
    </row>
    <row r="9" spans="1:16" ht="30" customHeight="1">
      <c r="A9" s="25" t="s">
        <v>229</v>
      </c>
      <c r="B9" s="24"/>
      <c r="C9" s="24"/>
      <c r="D9" s="645">
        <f>D11+D61</f>
        <v>34818936</v>
      </c>
      <c r="E9" s="645">
        <f>E11+E61</f>
        <v>33720556</v>
      </c>
      <c r="F9" s="286">
        <f>D9-E9</f>
        <v>1098380</v>
      </c>
      <c r="G9" s="756"/>
      <c r="H9" s="756"/>
      <c r="I9" s="756"/>
      <c r="J9" s="756"/>
      <c r="K9" s="756"/>
      <c r="L9" s="756"/>
      <c r="M9" s="756"/>
      <c r="N9" s="757"/>
      <c r="O9" s="757"/>
      <c r="P9" s="758"/>
    </row>
    <row r="10" spans="1:16" ht="30" customHeight="1">
      <c r="A10" s="25"/>
      <c r="B10" s="26">
        <v>4110</v>
      </c>
      <c r="C10" s="27"/>
      <c r="D10" s="646"/>
      <c r="E10" s="646"/>
      <c r="F10" s="287"/>
      <c r="G10" s="759"/>
      <c r="H10" s="759"/>
      <c r="I10" s="759"/>
      <c r="J10" s="759"/>
      <c r="K10" s="760"/>
      <c r="L10" s="759"/>
      <c r="M10" s="759"/>
      <c r="N10" s="761"/>
      <c r="O10" s="761"/>
      <c r="P10" s="762"/>
    </row>
    <row r="11" spans="1:16" ht="30" customHeight="1">
      <c r="A11" s="25"/>
      <c r="B11" s="27" t="s">
        <v>230</v>
      </c>
      <c r="C11" s="24"/>
      <c r="D11" s="645">
        <f>D13+D19+D21+D33+D37+D43+D56+D58</f>
        <v>32241416</v>
      </c>
      <c r="E11" s="645">
        <f>E13+E19+E21+E33+E37+E43+E56+E58</f>
        <v>31347556</v>
      </c>
      <c r="F11" s="286">
        <f>D11-E11</f>
        <v>893860</v>
      </c>
      <c r="G11" s="756"/>
      <c r="H11" s="756"/>
      <c r="I11" s="756"/>
      <c r="J11" s="756"/>
      <c r="K11" s="756"/>
      <c r="L11" s="756"/>
      <c r="M11" s="756"/>
      <c r="N11" s="757"/>
      <c r="O11" s="757"/>
      <c r="P11" s="758"/>
    </row>
    <row r="12" spans="1:16" ht="30" customHeight="1">
      <c r="A12" s="25"/>
      <c r="B12" s="27"/>
      <c r="C12" s="26">
        <v>4111</v>
      </c>
      <c r="D12" s="646"/>
      <c r="E12" s="646"/>
      <c r="F12" s="287"/>
      <c r="G12" s="763"/>
      <c r="H12" s="764"/>
      <c r="I12" s="764"/>
      <c r="J12" s="764"/>
      <c r="K12" s="764"/>
      <c r="L12" s="764"/>
      <c r="M12" s="764"/>
      <c r="N12" s="1382" t="s">
        <v>120</v>
      </c>
      <c r="O12" s="1382"/>
      <c r="P12" s="1383"/>
    </row>
    <row r="13" spans="1:16" ht="30" customHeight="1">
      <c r="A13" s="25"/>
      <c r="B13" s="27"/>
      <c r="C13" s="27" t="s">
        <v>231</v>
      </c>
      <c r="D13" s="646">
        <v>7836392</v>
      </c>
      <c r="E13" s="655">
        <v>21887556</v>
      </c>
      <c r="F13" s="287">
        <f>D13-E13</f>
        <v>-14051164</v>
      </c>
      <c r="G13" s="766" t="s">
        <v>1332</v>
      </c>
      <c r="I13" s="766"/>
      <c r="J13" s="759"/>
      <c r="K13" s="760"/>
      <c r="L13" s="760"/>
      <c r="M13" s="766"/>
      <c r="N13" s="1380">
        <v>3006414370</v>
      </c>
      <c r="O13" s="1353"/>
      <c r="P13" s="1354"/>
    </row>
    <row r="14" spans="1:16" ht="30" customHeight="1">
      <c r="A14" s="25"/>
      <c r="B14" s="27"/>
      <c r="C14" s="27"/>
      <c r="D14" s="646"/>
      <c r="E14" s="646"/>
      <c r="F14" s="287"/>
      <c r="G14" s="766" t="s">
        <v>1333</v>
      </c>
      <c r="I14" s="766"/>
      <c r="J14" s="759"/>
      <c r="K14" s="760"/>
      <c r="L14" s="760"/>
      <c r="M14" s="759"/>
      <c r="N14" s="1380">
        <v>4829977970</v>
      </c>
      <c r="O14" s="1353"/>
      <c r="P14" s="1354"/>
    </row>
    <row r="15" spans="1:16" ht="30" customHeight="1">
      <c r="A15" s="25"/>
      <c r="B15" s="27"/>
      <c r="C15" s="27"/>
      <c r="D15" s="646"/>
      <c r="E15" s="646"/>
      <c r="F15" s="287"/>
      <c r="G15" s="766"/>
      <c r="I15" s="766"/>
      <c r="J15" s="759"/>
      <c r="K15" s="760"/>
      <c r="L15" s="760"/>
      <c r="M15" s="759"/>
      <c r="N15" s="1380"/>
      <c r="O15" s="1353"/>
      <c r="P15" s="1354"/>
    </row>
    <row r="16" spans="1:16" ht="30" customHeight="1">
      <c r="A16" s="25"/>
      <c r="B16" s="27"/>
      <c r="C16" s="27"/>
      <c r="D16" s="646"/>
      <c r="E16" s="646"/>
      <c r="F16" s="287"/>
      <c r="G16" s="776"/>
      <c r="I16" s="766"/>
      <c r="J16" s="759"/>
      <c r="K16" s="760"/>
      <c r="L16" s="760"/>
      <c r="M16" s="759"/>
      <c r="N16" s="767"/>
      <c r="O16" s="761"/>
      <c r="P16" s="762"/>
    </row>
    <row r="17" spans="1:18" ht="30" customHeight="1">
      <c r="A17" s="25"/>
      <c r="B17" s="27"/>
      <c r="C17" s="27"/>
      <c r="D17" s="646"/>
      <c r="E17" s="646"/>
      <c r="F17" s="287"/>
      <c r="G17" s="766" t="s">
        <v>1334</v>
      </c>
      <c r="I17" s="759"/>
      <c r="J17" s="759"/>
      <c r="K17" s="759"/>
      <c r="L17" s="759"/>
      <c r="M17" s="768" t="s">
        <v>1335</v>
      </c>
      <c r="N17" s="1375">
        <f>SUM(N13:P16)</f>
        <v>7836392340</v>
      </c>
      <c r="O17" s="1375"/>
      <c r="P17" s="1376"/>
      <c r="Q17" s="1">
        <v>19140051000</v>
      </c>
      <c r="R17" s="107">
        <f>N17-Q17</f>
        <v>-11303658660</v>
      </c>
    </row>
    <row r="18" spans="1:16" ht="30" customHeight="1">
      <c r="A18" s="25"/>
      <c r="B18" s="27"/>
      <c r="C18" s="28">
        <v>4112</v>
      </c>
      <c r="D18" s="647"/>
      <c r="E18" s="647"/>
      <c r="F18" s="288"/>
      <c r="G18" s="763"/>
      <c r="H18" s="769"/>
      <c r="I18" s="769"/>
      <c r="J18" s="769"/>
      <c r="K18" s="769"/>
      <c r="L18" s="769"/>
      <c r="M18" s="769"/>
      <c r="N18" s="770"/>
      <c r="O18" s="770"/>
      <c r="P18" s="771"/>
    </row>
    <row r="19" spans="1:16" ht="30" customHeight="1">
      <c r="A19" s="25"/>
      <c r="B19" s="27"/>
      <c r="C19" s="24" t="s">
        <v>232</v>
      </c>
      <c r="D19" s="645">
        <v>0</v>
      </c>
      <c r="E19" s="645">
        <v>0</v>
      </c>
      <c r="F19" s="286">
        <f>D19-E19</f>
        <v>0</v>
      </c>
      <c r="G19" s="756" t="s">
        <v>162</v>
      </c>
      <c r="H19" s="756"/>
      <c r="I19" s="756"/>
      <c r="J19" s="756"/>
      <c r="K19" s="756"/>
      <c r="L19" s="768"/>
      <c r="M19" s="768" t="s">
        <v>120</v>
      </c>
      <c r="N19" s="1378">
        <v>0</v>
      </c>
      <c r="O19" s="1378"/>
      <c r="P19" s="1379"/>
    </row>
    <row r="20" spans="1:16" ht="30" customHeight="1">
      <c r="A20" s="25"/>
      <c r="B20" s="27"/>
      <c r="C20" s="27">
        <v>4113</v>
      </c>
      <c r="D20" s="646"/>
      <c r="E20" s="646"/>
      <c r="F20" s="287"/>
      <c r="G20" s="776"/>
      <c r="H20" s="774"/>
      <c r="I20" s="774"/>
      <c r="J20" s="774"/>
      <c r="K20" s="774"/>
      <c r="L20" s="774"/>
      <c r="M20" s="774"/>
      <c r="N20" s="786"/>
      <c r="O20" s="786"/>
      <c r="P20" s="787"/>
    </row>
    <row r="21" spans="1:16" ht="30" customHeight="1">
      <c r="A21" s="25"/>
      <c r="B21" s="27"/>
      <c r="C21" s="27" t="s">
        <v>233</v>
      </c>
      <c r="D21" s="646">
        <v>21095850</v>
      </c>
      <c r="E21" s="655">
        <v>6171000</v>
      </c>
      <c r="F21" s="287">
        <f>D21-E21</f>
        <v>14924850</v>
      </c>
      <c r="G21" s="766" t="s">
        <v>1336</v>
      </c>
      <c r="H21" s="773"/>
      <c r="I21" s="766"/>
      <c r="J21" s="759"/>
      <c r="K21" s="760"/>
      <c r="L21" s="760"/>
      <c r="M21" s="766"/>
      <c r="N21" s="1380">
        <v>5576000000</v>
      </c>
      <c r="O21" s="1380"/>
      <c r="P21" s="1381"/>
    </row>
    <row r="22" spans="1:16" ht="30" customHeight="1">
      <c r="A22" s="25"/>
      <c r="B22" s="27"/>
      <c r="C22" s="27"/>
      <c r="D22" s="646"/>
      <c r="E22" s="646"/>
      <c r="F22" s="287"/>
      <c r="G22" s="766" t="s">
        <v>1337</v>
      </c>
      <c r="H22" s="773"/>
      <c r="I22" s="766"/>
      <c r="J22" s="759"/>
      <c r="K22" s="760"/>
      <c r="L22" s="760"/>
      <c r="M22" s="759"/>
      <c r="N22" s="1380">
        <f>15061100000-1434000</f>
        <v>15059666000</v>
      </c>
      <c r="O22" s="1380"/>
      <c r="P22" s="1381"/>
    </row>
    <row r="23" spans="1:16" ht="30" customHeight="1">
      <c r="A23" s="25"/>
      <c r="B23" s="27"/>
      <c r="C23" s="27"/>
      <c r="D23" s="646"/>
      <c r="E23" s="646"/>
      <c r="F23" s="287"/>
      <c r="G23" s="766"/>
      <c r="H23" s="773"/>
      <c r="I23" s="766"/>
      <c r="J23" s="759"/>
      <c r="K23" s="760"/>
      <c r="L23" s="760"/>
      <c r="M23" s="759"/>
      <c r="N23" s="1380"/>
      <c r="O23" s="1380"/>
      <c r="P23" s="1381"/>
    </row>
    <row r="24" spans="1:16" ht="30" customHeight="1">
      <c r="A24" s="25"/>
      <c r="B24" s="27"/>
      <c r="C24" s="27"/>
      <c r="D24" s="646"/>
      <c r="E24" s="646"/>
      <c r="F24" s="287"/>
      <c r="G24" s="775" t="s">
        <v>1338</v>
      </c>
      <c r="H24" s="773"/>
      <c r="I24" s="766"/>
      <c r="J24" s="759"/>
      <c r="K24" s="760"/>
      <c r="L24" s="760"/>
      <c r="M24" s="759"/>
      <c r="N24" s="767"/>
      <c r="O24" s="767"/>
      <c r="P24" s="1145">
        <v>139000000</v>
      </c>
    </row>
    <row r="25" spans="1:16" ht="30" customHeight="1">
      <c r="A25" s="25"/>
      <c r="B25" s="27"/>
      <c r="C25" s="27"/>
      <c r="D25" s="646"/>
      <c r="E25" s="646"/>
      <c r="F25" s="287"/>
      <c r="G25" s="1140" t="s">
        <v>1339</v>
      </c>
      <c r="H25" s="1043"/>
      <c r="I25" s="1043"/>
      <c r="J25" s="1043"/>
      <c r="K25" s="773"/>
      <c r="L25" s="774"/>
      <c r="M25" s="774"/>
      <c r="N25" s="1041"/>
      <c r="O25" s="1041"/>
      <c r="P25" s="1042">
        <v>270000000</v>
      </c>
    </row>
    <row r="26" spans="1:16" ht="30" customHeight="1">
      <c r="A26" s="25"/>
      <c r="B26" s="27"/>
      <c r="C26" s="27"/>
      <c r="D26" s="646"/>
      <c r="E26" s="646"/>
      <c r="F26" s="287"/>
      <c r="G26" s="776" t="s">
        <v>1340</v>
      </c>
      <c r="H26" s="773"/>
      <c r="I26" s="773"/>
      <c r="J26" s="773"/>
      <c r="K26" s="773"/>
      <c r="L26" s="774"/>
      <c r="M26" s="774"/>
      <c r="N26" s="1359">
        <v>56700000</v>
      </c>
      <c r="O26" s="1359"/>
      <c r="P26" s="1360"/>
    </row>
    <row r="27" spans="1:16" ht="30" customHeight="1">
      <c r="A27" s="25"/>
      <c r="B27" s="27"/>
      <c r="C27" s="27"/>
      <c r="D27" s="646"/>
      <c r="E27" s="646"/>
      <c r="F27" s="287"/>
      <c r="G27" s="776" t="s">
        <v>1341</v>
      </c>
      <c r="H27" s="773"/>
      <c r="I27" s="773"/>
      <c r="J27" s="773"/>
      <c r="K27" s="773"/>
      <c r="L27" s="774"/>
      <c r="M27" s="774"/>
      <c r="N27" s="1041"/>
      <c r="O27" s="1041"/>
      <c r="P27" s="1042">
        <v>82450000</v>
      </c>
    </row>
    <row r="28" spans="1:16" ht="30" customHeight="1">
      <c r="A28" s="25"/>
      <c r="B28" s="27"/>
      <c r="C28" s="27"/>
      <c r="D28" s="646"/>
      <c r="E28" s="646"/>
      <c r="F28" s="287"/>
      <c r="G28" s="776" t="s">
        <v>1342</v>
      </c>
      <c r="H28" s="773"/>
      <c r="I28" s="773"/>
      <c r="J28" s="773"/>
      <c r="K28" s="773"/>
      <c r="L28" s="774"/>
      <c r="M28" s="774"/>
      <c r="N28" s="1041"/>
      <c r="O28" s="1041"/>
      <c r="P28" s="1042">
        <v>50000000</v>
      </c>
    </row>
    <row r="29" spans="1:16" ht="30" customHeight="1">
      <c r="A29" s="25"/>
      <c r="B29" s="27"/>
      <c r="C29" s="27"/>
      <c r="D29" s="646"/>
      <c r="E29" s="646"/>
      <c r="F29" s="287"/>
      <c r="G29" s="776" t="s">
        <v>1343</v>
      </c>
      <c r="H29" s="773"/>
      <c r="I29" s="773"/>
      <c r="J29" s="773"/>
      <c r="K29" s="773"/>
      <c r="L29" s="774"/>
      <c r="M29" s="774"/>
      <c r="N29" s="1359">
        <v>150000000</v>
      </c>
      <c r="O29" s="1359"/>
      <c r="P29" s="1360"/>
    </row>
    <row r="30" spans="1:16" ht="30" customHeight="1">
      <c r="A30" s="25"/>
      <c r="B30" s="27"/>
      <c r="C30" s="27"/>
      <c r="D30" s="646"/>
      <c r="E30" s="646"/>
      <c r="F30" s="287"/>
      <c r="G30" s="776" t="s">
        <v>1344</v>
      </c>
      <c r="H30" s="773"/>
      <c r="I30" s="773"/>
      <c r="J30" s="773"/>
      <c r="K30" s="773"/>
      <c r="L30" s="774"/>
      <c r="M30" s="774"/>
      <c r="N30" s="1041"/>
      <c r="O30" s="1041"/>
      <c r="P30" s="1042">
        <v>20000000</v>
      </c>
    </row>
    <row r="31" spans="1:18" ht="30" customHeight="1">
      <c r="A31" s="25"/>
      <c r="B31" s="27"/>
      <c r="C31" s="24"/>
      <c r="D31" s="645"/>
      <c r="E31" s="645"/>
      <c r="F31" s="286"/>
      <c r="G31" s="777" t="s">
        <v>1345</v>
      </c>
      <c r="H31" s="778"/>
      <c r="I31" s="779"/>
      <c r="J31" s="757"/>
      <c r="K31" s="779"/>
      <c r="L31" s="779"/>
      <c r="M31" s="768" t="s">
        <v>1346</v>
      </c>
      <c r="N31" s="1378">
        <f>SUM(N21:P30)</f>
        <v>21403816000</v>
      </c>
      <c r="O31" s="1378"/>
      <c r="P31" s="1379"/>
      <c r="Q31" s="1">
        <v>6027420000</v>
      </c>
      <c r="R31" s="107">
        <f>N31-Q31</f>
        <v>15376396000</v>
      </c>
    </row>
    <row r="32" spans="1:16" ht="30" customHeight="1">
      <c r="A32" s="25"/>
      <c r="B32" s="27"/>
      <c r="C32" s="27">
        <v>4114</v>
      </c>
      <c r="D32" s="646"/>
      <c r="E32" s="646"/>
      <c r="F32" s="287"/>
      <c r="G32" s="773"/>
      <c r="H32" s="774"/>
      <c r="I32" s="774"/>
      <c r="J32" s="774"/>
      <c r="K32" s="774"/>
      <c r="L32" s="774"/>
      <c r="M32" s="774"/>
      <c r="N32" s="1362" t="s">
        <v>120</v>
      </c>
      <c r="O32" s="1362"/>
      <c r="P32" s="1363"/>
    </row>
    <row r="33" spans="1:16" ht="30" customHeight="1">
      <c r="A33" s="25"/>
      <c r="B33" s="27"/>
      <c r="C33" s="32" t="s">
        <v>234</v>
      </c>
      <c r="D33" s="646">
        <v>0</v>
      </c>
      <c r="E33" s="646">
        <v>0</v>
      </c>
      <c r="F33" s="287">
        <f>D33-E33</f>
        <v>0</v>
      </c>
      <c r="G33" s="773"/>
      <c r="H33" s="773"/>
      <c r="I33" s="782"/>
      <c r="J33" s="782"/>
      <c r="K33" s="773"/>
      <c r="L33" s="1351"/>
      <c r="M33" s="1351"/>
      <c r="N33" s="1353"/>
      <c r="O33" s="1353"/>
      <c r="P33" s="1354"/>
    </row>
    <row r="34" spans="1:16" ht="30" customHeight="1">
      <c r="A34" s="25"/>
      <c r="B34" s="27"/>
      <c r="C34" s="27"/>
      <c r="D34" s="646"/>
      <c r="E34" s="646"/>
      <c r="F34" s="287"/>
      <c r="G34" s="781"/>
      <c r="H34" s="773"/>
      <c r="I34" s="782"/>
      <c r="J34" s="782"/>
      <c r="L34" s="1351"/>
      <c r="M34" s="1351"/>
      <c r="N34" s="1353"/>
      <c r="O34" s="1353"/>
      <c r="P34" s="1354"/>
    </row>
    <row r="35" spans="1:16" ht="30" customHeight="1">
      <c r="A35" s="25"/>
      <c r="B35" s="27"/>
      <c r="C35" s="27"/>
      <c r="D35" s="646"/>
      <c r="E35" s="646"/>
      <c r="F35" s="286"/>
      <c r="G35" s="781"/>
      <c r="H35" s="759"/>
      <c r="I35" s="759"/>
      <c r="J35" s="759"/>
      <c r="K35" s="759"/>
      <c r="L35" s="760"/>
      <c r="M35" s="767"/>
      <c r="N35" s="1378"/>
      <c r="O35" s="1378"/>
      <c r="P35" s="1379"/>
    </row>
    <row r="36" spans="1:16" ht="26.25" customHeight="1">
      <c r="A36" s="25"/>
      <c r="B36" s="27"/>
      <c r="C36" s="28">
        <v>4115</v>
      </c>
      <c r="D36" s="647"/>
      <c r="E36" s="647"/>
      <c r="F36" s="288"/>
      <c r="G36" s="763"/>
      <c r="H36" s="783"/>
      <c r="I36" s="783"/>
      <c r="J36" s="783"/>
      <c r="K36" s="783"/>
      <c r="L36" s="765"/>
      <c r="M36" s="765"/>
      <c r="N36" s="1397" t="s">
        <v>120</v>
      </c>
      <c r="O36" s="1397"/>
      <c r="P36" s="1398"/>
    </row>
    <row r="37" spans="1:16" ht="30" customHeight="1">
      <c r="A37" s="25"/>
      <c r="B37" s="27"/>
      <c r="C37" s="27" t="s">
        <v>235</v>
      </c>
      <c r="D37" s="646">
        <v>1510448</v>
      </c>
      <c r="E37" s="655">
        <v>1610000</v>
      </c>
      <c r="F37" s="287">
        <f>D37-E37</f>
        <v>-99552</v>
      </c>
      <c r="G37" s="776" t="s">
        <v>337</v>
      </c>
      <c r="H37" s="759"/>
      <c r="I37" s="759"/>
      <c r="J37" s="759"/>
      <c r="K37" s="759"/>
      <c r="L37" s="760"/>
      <c r="M37" s="760"/>
      <c r="N37" s="1353" t="s">
        <v>3</v>
      </c>
      <c r="O37" s="1353"/>
      <c r="P37" s="1354"/>
    </row>
    <row r="38" spans="1:16" ht="30" customHeight="1">
      <c r="A38" s="25"/>
      <c r="B38" s="27"/>
      <c r="C38" s="27"/>
      <c r="D38" s="646"/>
      <c r="E38" s="646"/>
      <c r="F38" s="287"/>
      <c r="G38" s="773" t="s">
        <v>650</v>
      </c>
      <c r="H38" s="773"/>
      <c r="I38" s="773"/>
      <c r="J38" s="773"/>
      <c r="K38" s="773"/>
      <c r="L38" s="773"/>
      <c r="M38" s="773"/>
      <c r="N38" s="1041"/>
      <c r="O38" s="1041"/>
      <c r="P38" s="1042">
        <v>10000000</v>
      </c>
    </row>
    <row r="39" spans="1:16" ht="30" customHeight="1">
      <c r="A39" s="25"/>
      <c r="B39" s="27"/>
      <c r="C39" s="27"/>
      <c r="D39" s="646"/>
      <c r="E39" s="646"/>
      <c r="F39" s="287"/>
      <c r="G39" s="773" t="s">
        <v>6</v>
      </c>
      <c r="H39" s="759"/>
      <c r="I39" s="759"/>
      <c r="J39" s="759"/>
      <c r="K39" s="759"/>
      <c r="L39" s="760"/>
      <c r="M39" s="760"/>
      <c r="N39" s="761"/>
      <c r="O39" s="761"/>
      <c r="P39" s="762"/>
    </row>
    <row r="40" spans="1:16" ht="30" customHeight="1">
      <c r="A40" s="25"/>
      <c r="B40" s="27"/>
      <c r="C40" s="27"/>
      <c r="D40" s="646"/>
      <c r="E40" s="646"/>
      <c r="F40" s="287"/>
      <c r="G40" s="773" t="s">
        <v>650</v>
      </c>
      <c r="H40" s="759"/>
      <c r="I40" s="759"/>
      <c r="J40" s="759"/>
      <c r="K40" s="759"/>
      <c r="L40" s="760"/>
      <c r="M40" s="760"/>
      <c r="N40" s="1353">
        <v>1500448000</v>
      </c>
      <c r="O40" s="1353"/>
      <c r="P40" s="1354"/>
    </row>
    <row r="41" spans="1:16" ht="22.5" customHeight="1">
      <c r="A41" s="25"/>
      <c r="B41" s="27"/>
      <c r="C41" s="27"/>
      <c r="D41" s="646"/>
      <c r="E41" s="646"/>
      <c r="F41" s="287"/>
      <c r="G41" s="777" t="s">
        <v>199</v>
      </c>
      <c r="H41" s="756"/>
      <c r="I41" s="756"/>
      <c r="J41" s="756"/>
      <c r="K41" s="756"/>
      <c r="L41" s="768"/>
      <c r="M41" s="768"/>
      <c r="N41" s="1375">
        <f>SUM(N38:P40)</f>
        <v>1510448000</v>
      </c>
      <c r="O41" s="1375"/>
      <c r="P41" s="1376"/>
    </row>
    <row r="42" spans="1:16" ht="21" customHeight="1">
      <c r="A42" s="41"/>
      <c r="B42" s="125"/>
      <c r="C42" s="28">
        <v>4116</v>
      </c>
      <c r="D42" s="649"/>
      <c r="E42" s="649"/>
      <c r="F42" s="301"/>
      <c r="H42" s="773"/>
      <c r="I42" s="774"/>
      <c r="J42" s="774"/>
      <c r="K42" s="769"/>
      <c r="L42" s="774"/>
      <c r="M42" s="774"/>
      <c r="N42" s="786"/>
      <c r="O42" s="786"/>
      <c r="P42" s="787"/>
    </row>
    <row r="43" spans="1:16" ht="30" customHeight="1">
      <c r="A43" s="25"/>
      <c r="B43" s="27"/>
      <c r="C43" s="27" t="s">
        <v>92</v>
      </c>
      <c r="D43" s="646">
        <v>101576</v>
      </c>
      <c r="E43" s="655">
        <v>96000</v>
      </c>
      <c r="F43" s="287">
        <f>D43-E43</f>
        <v>5576</v>
      </c>
      <c r="G43" s="773" t="s">
        <v>7</v>
      </c>
      <c r="H43" s="773"/>
      <c r="I43" s="773"/>
      <c r="J43" s="773"/>
      <c r="K43" s="773"/>
      <c r="L43" s="773"/>
      <c r="M43" s="773"/>
      <c r="N43" s="1351" t="s">
        <v>3</v>
      </c>
      <c r="O43" s="1351"/>
      <c r="P43" s="1352"/>
    </row>
    <row r="44" spans="1:16" ht="27" customHeight="1">
      <c r="A44" s="25"/>
      <c r="B44" s="27"/>
      <c r="C44" s="27"/>
      <c r="D44" s="646"/>
      <c r="E44" s="646"/>
      <c r="F44" s="287"/>
      <c r="G44" s="781" t="s">
        <v>1015</v>
      </c>
      <c r="H44" s="759"/>
      <c r="I44" s="759"/>
      <c r="J44" s="759"/>
      <c r="K44" s="759"/>
      <c r="L44" s="760"/>
      <c r="M44" s="760"/>
      <c r="N44" s="1353">
        <v>15000000</v>
      </c>
      <c r="O44" s="1353"/>
      <c r="P44" s="1354"/>
    </row>
    <row r="45" spans="1:16" ht="27" customHeight="1" hidden="1">
      <c r="A45" s="25"/>
      <c r="B45" s="27"/>
      <c r="C45" s="27"/>
      <c r="D45" s="646"/>
      <c r="E45" s="646"/>
      <c r="F45" s="287"/>
      <c r="G45" s="781"/>
      <c r="H45" s="759"/>
      <c r="I45" s="759"/>
      <c r="J45" s="759"/>
      <c r="K45" s="759"/>
      <c r="L45" s="760"/>
      <c r="M45" s="760"/>
      <c r="N45" s="1353"/>
      <c r="O45" s="1353"/>
      <c r="P45" s="1354"/>
    </row>
    <row r="46" spans="1:16" ht="27" customHeight="1">
      <c r="A46" s="25"/>
      <c r="B46" s="27"/>
      <c r="C46" s="27"/>
      <c r="D46" s="646"/>
      <c r="E46" s="646"/>
      <c r="F46" s="287"/>
      <c r="G46" s="781" t="s">
        <v>360</v>
      </c>
      <c r="H46" s="759"/>
      <c r="I46" s="759"/>
      <c r="J46" s="759"/>
      <c r="K46" s="759"/>
      <c r="L46" s="760"/>
      <c r="M46" s="760"/>
      <c r="N46" s="1353">
        <f>SUM(N43:P45)</f>
        <v>15000000</v>
      </c>
      <c r="O46" s="1353"/>
      <c r="P46" s="1354"/>
    </row>
    <row r="47" spans="1:16" ht="27" customHeight="1">
      <c r="A47" s="25"/>
      <c r="B47" s="27"/>
      <c r="C47" s="27"/>
      <c r="D47" s="646"/>
      <c r="E47" s="646"/>
      <c r="F47" s="287"/>
      <c r="G47" s="781" t="s">
        <v>344</v>
      </c>
      <c r="H47" s="759"/>
      <c r="I47" s="759"/>
      <c r="J47" s="759"/>
      <c r="K47" s="759"/>
      <c r="L47" s="760"/>
      <c r="M47" s="760"/>
      <c r="N47" s="1351" t="s">
        <v>343</v>
      </c>
      <c r="O47" s="1351"/>
      <c r="P47" s="1352"/>
    </row>
    <row r="48" spans="1:16" ht="27" customHeight="1">
      <c r="A48" s="25"/>
      <c r="B48" s="27"/>
      <c r="C48" s="27"/>
      <c r="D48" s="646"/>
      <c r="E48" s="646"/>
      <c r="F48" s="287"/>
      <c r="G48" s="781" t="s">
        <v>345</v>
      </c>
      <c r="H48" s="759"/>
      <c r="I48" s="759"/>
      <c r="J48" s="759"/>
      <c r="K48" s="759"/>
      <c r="L48" s="760"/>
      <c r="M48" s="760"/>
      <c r="N48" s="1353">
        <v>30000000</v>
      </c>
      <c r="O48" s="1353"/>
      <c r="P48" s="1354"/>
    </row>
    <row r="49" spans="1:16" ht="27" customHeight="1">
      <c r="A49" s="25"/>
      <c r="B49" s="27"/>
      <c r="C49" s="27"/>
      <c r="D49" s="646"/>
      <c r="E49" s="646"/>
      <c r="F49" s="287"/>
      <c r="G49" s="781" t="s">
        <v>1038</v>
      </c>
      <c r="H49" s="759"/>
      <c r="I49" s="759"/>
      <c r="J49" s="759"/>
      <c r="K49" s="759"/>
      <c r="L49" s="760"/>
      <c r="M49" s="760"/>
      <c r="N49" s="1353">
        <v>10000000</v>
      </c>
      <c r="O49" s="1353"/>
      <c r="P49" s="1354"/>
    </row>
    <row r="50" spans="1:16" ht="27" customHeight="1">
      <c r="A50" s="25"/>
      <c r="B50" s="27"/>
      <c r="C50" s="27"/>
      <c r="D50" s="646"/>
      <c r="E50" s="646"/>
      <c r="F50" s="287"/>
      <c r="G50" s="781" t="s">
        <v>346</v>
      </c>
      <c r="H50" s="759"/>
      <c r="I50" s="759"/>
      <c r="J50" s="759"/>
      <c r="K50" s="759"/>
      <c r="L50" s="760"/>
      <c r="M50" s="760"/>
      <c r="N50" s="1353">
        <v>25000000</v>
      </c>
      <c r="O50" s="1353"/>
      <c r="P50" s="1354"/>
    </row>
    <row r="51" spans="1:16" ht="27" customHeight="1">
      <c r="A51" s="25"/>
      <c r="B51" s="27"/>
      <c r="C51" s="27"/>
      <c r="D51" s="646"/>
      <c r="E51" s="646"/>
      <c r="F51" s="287"/>
      <c r="G51" s="781" t="s">
        <v>347</v>
      </c>
      <c r="H51" s="759"/>
      <c r="I51" s="759"/>
      <c r="J51" s="759"/>
      <c r="K51" s="759"/>
      <c r="L51" s="760"/>
      <c r="M51" s="760"/>
      <c r="N51" s="1353">
        <v>14000000</v>
      </c>
      <c r="O51" s="1353"/>
      <c r="P51" s="1354"/>
    </row>
    <row r="52" spans="1:16" ht="27" customHeight="1">
      <c r="A52" s="25"/>
      <c r="B52" s="27"/>
      <c r="C52" s="27"/>
      <c r="D52" s="646"/>
      <c r="E52" s="646"/>
      <c r="F52" s="287"/>
      <c r="G52" s="781" t="s">
        <v>1270</v>
      </c>
      <c r="H52" s="759"/>
      <c r="I52" s="759"/>
      <c r="J52" s="759"/>
      <c r="K52" s="759"/>
      <c r="L52" s="760"/>
      <c r="M52" s="760"/>
      <c r="N52" s="1353">
        <v>7576000</v>
      </c>
      <c r="O52" s="1353"/>
      <c r="P52" s="1354"/>
    </row>
    <row r="53" spans="1:16" ht="27" customHeight="1">
      <c r="A53" s="25"/>
      <c r="B53" s="27"/>
      <c r="C53" s="27"/>
      <c r="D53" s="646"/>
      <c r="E53" s="646"/>
      <c r="F53" s="287"/>
      <c r="G53" s="781" t="s">
        <v>411</v>
      </c>
      <c r="H53" s="759"/>
      <c r="I53" s="759"/>
      <c r="J53" s="759"/>
      <c r="K53" s="759"/>
      <c r="L53" s="760"/>
      <c r="M53" s="760"/>
      <c r="N53" s="761"/>
      <c r="O53" s="761"/>
      <c r="P53" s="762">
        <f>SUM(N48:P52)</f>
        <v>86576000</v>
      </c>
    </row>
    <row r="54" spans="1:16" ht="32.25" customHeight="1">
      <c r="A54" s="25"/>
      <c r="B54" s="27"/>
      <c r="C54" s="306"/>
      <c r="D54" s="650"/>
      <c r="E54" s="650"/>
      <c r="F54" s="294"/>
      <c r="G54" s="790" t="s">
        <v>349</v>
      </c>
      <c r="H54" s="791"/>
      <c r="I54" s="791"/>
      <c r="J54" s="791"/>
      <c r="K54" s="791"/>
      <c r="L54" s="1143"/>
      <c r="M54" s="1143" t="s">
        <v>343</v>
      </c>
      <c r="N54" s="1378">
        <f>N46+P53</f>
        <v>101576000</v>
      </c>
      <c r="O54" s="1378"/>
      <c r="P54" s="1379"/>
    </row>
    <row r="55" spans="1:16" ht="26.25" customHeight="1">
      <c r="A55" s="25"/>
      <c r="B55" s="27"/>
      <c r="C55" s="27">
        <v>4117</v>
      </c>
      <c r="D55" s="646"/>
      <c r="E55" s="646"/>
      <c r="F55" s="287"/>
      <c r="G55" s="774"/>
      <c r="H55" s="774"/>
      <c r="I55" s="774"/>
      <c r="J55" s="774"/>
      <c r="K55" s="774"/>
      <c r="L55" s="774"/>
      <c r="M55" s="774"/>
      <c r="N55" s="786"/>
      <c r="O55" s="786"/>
      <c r="P55" s="787"/>
    </row>
    <row r="56" spans="1:16" ht="32.25" customHeight="1">
      <c r="A56" s="25"/>
      <c r="B56" s="27"/>
      <c r="C56" s="24" t="s">
        <v>97</v>
      </c>
      <c r="D56" s="645">
        <v>0</v>
      </c>
      <c r="E56" s="645">
        <v>0</v>
      </c>
      <c r="F56" s="286">
        <f>D56-E56</f>
        <v>0</v>
      </c>
      <c r="G56" s="1386"/>
      <c r="H56" s="1387"/>
      <c r="I56" s="1387"/>
      <c r="J56" s="1387"/>
      <c r="K56" s="1387"/>
      <c r="L56" s="768"/>
      <c r="M56" s="768"/>
      <c r="N56" s="1378"/>
      <c r="O56" s="1378"/>
      <c r="P56" s="1379"/>
    </row>
    <row r="57" spans="1:16" ht="32.25" customHeight="1">
      <c r="A57" s="25"/>
      <c r="B57" s="27"/>
      <c r="C57" s="27">
        <v>4118</v>
      </c>
      <c r="D57" s="646"/>
      <c r="E57" s="646"/>
      <c r="F57" s="287"/>
      <c r="G57" s="781" t="s">
        <v>1347</v>
      </c>
      <c r="H57" s="774"/>
      <c r="I57" s="774"/>
      <c r="J57" s="774"/>
      <c r="K57" s="774"/>
      <c r="L57" s="774"/>
      <c r="M57" s="774"/>
      <c r="N57" s="793"/>
      <c r="O57" s="793"/>
      <c r="P57" s="794">
        <f>1150631444+16463846</f>
        <v>1167095290</v>
      </c>
    </row>
    <row r="58" spans="1:16" ht="32.25" customHeight="1">
      <c r="A58" s="25"/>
      <c r="B58" s="27"/>
      <c r="C58" s="27" t="s">
        <v>236</v>
      </c>
      <c r="D58" s="646">
        <v>1697150</v>
      </c>
      <c r="E58" s="655">
        <v>1583000</v>
      </c>
      <c r="F58" s="287">
        <f>D58-E58</f>
        <v>114150</v>
      </c>
      <c r="G58" s="781" t="s">
        <v>1348</v>
      </c>
      <c r="H58" s="773"/>
      <c r="I58" s="760"/>
      <c r="J58" s="766"/>
      <c r="K58" s="759"/>
      <c r="L58" s="773"/>
      <c r="M58" s="759"/>
      <c r="N58" s="1353">
        <v>530054710</v>
      </c>
      <c r="O58" s="1353"/>
      <c r="P58" s="1354"/>
    </row>
    <row r="59" spans="1:16" ht="32.25" customHeight="1">
      <c r="A59" s="25"/>
      <c r="B59" s="24"/>
      <c r="C59" s="24"/>
      <c r="D59" s="645"/>
      <c r="E59" s="645"/>
      <c r="F59" s="286"/>
      <c r="G59" s="777" t="s">
        <v>1349</v>
      </c>
      <c r="H59" s="778"/>
      <c r="I59" s="768"/>
      <c r="J59" s="779"/>
      <c r="K59" s="756"/>
      <c r="L59" s="778"/>
      <c r="M59" s="756"/>
      <c r="N59" s="757"/>
      <c r="O59" s="757"/>
      <c r="P59" s="758">
        <f>SUM(N57:P58)</f>
        <v>1697150000</v>
      </c>
    </row>
    <row r="60" spans="1:16" ht="30" customHeight="1">
      <c r="A60" s="25"/>
      <c r="B60" s="27">
        <v>4120</v>
      </c>
      <c r="C60" s="27"/>
      <c r="D60" s="646"/>
      <c r="E60" s="646"/>
      <c r="F60" s="287"/>
      <c r="G60" s="759"/>
      <c r="H60" s="759"/>
      <c r="I60" s="759"/>
      <c r="J60" s="759"/>
      <c r="K60" s="759"/>
      <c r="L60" s="760"/>
      <c r="M60" s="760"/>
      <c r="N60" s="761"/>
      <c r="O60" s="761"/>
      <c r="P60" s="762"/>
    </row>
    <row r="61" spans="1:16" ht="32.25" customHeight="1">
      <c r="A61" s="25"/>
      <c r="B61" s="27" t="s">
        <v>237</v>
      </c>
      <c r="C61" s="24"/>
      <c r="D61" s="645">
        <f>D63+D65+D67+D69+D75+D78+D81</f>
        <v>2577520</v>
      </c>
      <c r="E61" s="645">
        <f>E63+E65+E67+E69+E75+E78+E81</f>
        <v>2373000</v>
      </c>
      <c r="F61" s="286">
        <f>D61-E61</f>
        <v>204520</v>
      </c>
      <c r="G61" s="756"/>
      <c r="H61" s="756"/>
      <c r="I61" s="756"/>
      <c r="J61" s="756"/>
      <c r="K61" s="756"/>
      <c r="L61" s="768"/>
      <c r="M61" s="768"/>
      <c r="N61" s="757"/>
      <c r="O61" s="757"/>
      <c r="P61" s="758"/>
    </row>
    <row r="62" spans="1:16" ht="32.25" customHeight="1">
      <c r="A62" s="25"/>
      <c r="B62" s="27"/>
      <c r="C62" s="26">
        <v>4121</v>
      </c>
      <c r="D62" s="646"/>
      <c r="E62" s="646"/>
      <c r="F62" s="287"/>
      <c r="G62" s="773"/>
      <c r="H62" s="774"/>
      <c r="I62" s="774"/>
      <c r="J62" s="774"/>
      <c r="K62" s="774"/>
      <c r="L62" s="774"/>
      <c r="M62" s="774"/>
      <c r="N62" s="786"/>
      <c r="O62" s="786"/>
      <c r="P62" s="787"/>
    </row>
    <row r="63" spans="1:16" ht="32.25" customHeight="1">
      <c r="A63" s="25"/>
      <c r="B63" s="27"/>
      <c r="C63" s="24" t="s">
        <v>238</v>
      </c>
      <c r="D63" s="645">
        <v>1118945</v>
      </c>
      <c r="E63" s="650">
        <v>1215000</v>
      </c>
      <c r="F63" s="286">
        <f>D63-E63</f>
        <v>-96055</v>
      </c>
      <c r="G63" s="759" t="s">
        <v>1350</v>
      </c>
      <c r="H63" s="773"/>
      <c r="I63" s="760"/>
      <c r="J63" s="766"/>
      <c r="K63" s="759"/>
      <c r="L63" s="773"/>
      <c r="M63" s="759"/>
      <c r="N63" s="1353">
        <v>1118945000</v>
      </c>
      <c r="O63" s="1353"/>
      <c r="P63" s="1354"/>
    </row>
    <row r="64" spans="1:16" ht="32.25" customHeight="1">
      <c r="A64" s="25"/>
      <c r="B64" s="27"/>
      <c r="C64" s="28">
        <v>4122</v>
      </c>
      <c r="D64" s="647"/>
      <c r="E64" s="647"/>
      <c r="F64" s="288"/>
      <c r="G64" s="764"/>
      <c r="H64" s="769"/>
      <c r="I64" s="769"/>
      <c r="J64" s="769"/>
      <c r="K64" s="769"/>
      <c r="L64" s="769"/>
      <c r="M64" s="783"/>
      <c r="N64" s="784"/>
      <c r="O64" s="784"/>
      <c r="P64" s="785"/>
    </row>
    <row r="65" spans="1:16" ht="32.25" customHeight="1">
      <c r="A65" s="25"/>
      <c r="B65" s="27"/>
      <c r="C65" s="24" t="s">
        <v>239</v>
      </c>
      <c r="D65" s="645">
        <v>0</v>
      </c>
      <c r="E65" s="650">
        <v>0</v>
      </c>
      <c r="F65" s="286">
        <f>D65-E65</f>
        <v>0</v>
      </c>
      <c r="G65" s="778" t="s">
        <v>339</v>
      </c>
      <c r="H65" s="756"/>
      <c r="I65" s="756"/>
      <c r="J65" s="756"/>
      <c r="K65" s="756"/>
      <c r="L65" s="756"/>
      <c r="M65" s="757" t="s">
        <v>120</v>
      </c>
      <c r="N65" s="1378">
        <v>0</v>
      </c>
      <c r="O65" s="1378"/>
      <c r="P65" s="1379"/>
    </row>
    <row r="66" spans="1:16" ht="27.75" customHeight="1">
      <c r="A66" s="25"/>
      <c r="B66" s="27"/>
      <c r="C66" s="27">
        <v>4123</v>
      </c>
      <c r="D66" s="646"/>
      <c r="E66" s="646"/>
      <c r="F66" s="287"/>
      <c r="G66" s="773"/>
      <c r="H66" s="774"/>
      <c r="I66" s="774"/>
      <c r="J66" s="774"/>
      <c r="K66" s="774"/>
      <c r="L66" s="774"/>
      <c r="M66" s="759"/>
      <c r="N66" s="761"/>
      <c r="O66" s="761"/>
      <c r="P66" s="762"/>
    </row>
    <row r="67" spans="1:16" ht="32.25" customHeight="1">
      <c r="A67" s="25"/>
      <c r="B67" s="27"/>
      <c r="C67" s="24" t="s">
        <v>240</v>
      </c>
      <c r="D67" s="645">
        <v>1260167</v>
      </c>
      <c r="E67" s="650">
        <v>970000</v>
      </c>
      <c r="F67" s="286">
        <f>D67-E67</f>
        <v>290167</v>
      </c>
      <c r="G67" s="792" t="s">
        <v>1351</v>
      </c>
      <c r="H67" s="778"/>
      <c r="I67" s="768"/>
      <c r="J67" s="768"/>
      <c r="K67" s="756"/>
      <c r="L67" s="756"/>
      <c r="M67" s="778"/>
      <c r="N67" s="1378">
        <v>1260167000</v>
      </c>
      <c r="O67" s="1378"/>
      <c r="P67" s="1379"/>
    </row>
    <row r="68" spans="1:16" ht="30" customHeight="1">
      <c r="A68" s="25"/>
      <c r="B68" s="27"/>
      <c r="C68" s="27">
        <v>4124</v>
      </c>
      <c r="D68" s="646"/>
      <c r="E68" s="646"/>
      <c r="F68" s="287"/>
      <c r="G68" s="776"/>
      <c r="H68" s="774"/>
      <c r="I68" s="774"/>
      <c r="J68" s="774"/>
      <c r="K68" s="774"/>
      <c r="L68" s="774"/>
      <c r="M68" s="774"/>
      <c r="N68" s="793"/>
      <c r="O68" s="793"/>
      <c r="P68" s="794"/>
    </row>
    <row r="69" spans="1:16" ht="30" customHeight="1">
      <c r="A69" s="25"/>
      <c r="B69" s="27"/>
      <c r="C69" s="32" t="s">
        <v>241</v>
      </c>
      <c r="D69" s="646">
        <v>0</v>
      </c>
      <c r="E69" s="646">
        <v>0</v>
      </c>
      <c r="F69" s="287">
        <f>D69-E69</f>
        <v>0</v>
      </c>
      <c r="G69" s="781"/>
      <c r="H69" s="759"/>
      <c r="I69" s="759"/>
      <c r="J69" s="773"/>
      <c r="K69" s="782"/>
      <c r="L69" s="1361"/>
      <c r="M69" s="1361"/>
      <c r="N69" s="1353"/>
      <c r="O69" s="1353"/>
      <c r="P69" s="1354"/>
    </row>
    <row r="70" spans="1:16" ht="30" customHeight="1">
      <c r="A70" s="25"/>
      <c r="B70" s="27"/>
      <c r="C70" s="27"/>
      <c r="D70" s="646"/>
      <c r="E70" s="646"/>
      <c r="F70" s="287"/>
      <c r="G70" s="759"/>
      <c r="H70" s="773"/>
      <c r="I70" s="759"/>
      <c r="J70" s="773"/>
      <c r="K70" s="782"/>
      <c r="L70" s="1361"/>
      <c r="M70" s="1361"/>
      <c r="N70" s="1353"/>
      <c r="O70" s="1353"/>
      <c r="P70" s="1354"/>
    </row>
    <row r="71" spans="1:16" ht="30" customHeight="1">
      <c r="A71" s="25"/>
      <c r="B71" s="27"/>
      <c r="C71" s="27"/>
      <c r="D71" s="646"/>
      <c r="E71" s="646"/>
      <c r="F71" s="287"/>
      <c r="G71" s="781"/>
      <c r="H71" s="773"/>
      <c r="I71" s="759"/>
      <c r="J71" s="773"/>
      <c r="K71" s="782"/>
      <c r="L71" s="1361"/>
      <c r="M71" s="1361"/>
      <c r="N71" s="1353"/>
      <c r="O71" s="1353"/>
      <c r="P71" s="1354"/>
    </row>
    <row r="72" spans="1:16" ht="30" customHeight="1">
      <c r="A72" s="25"/>
      <c r="B72" s="27"/>
      <c r="C72" s="27"/>
      <c r="D72" s="646"/>
      <c r="E72" s="646"/>
      <c r="F72" s="287"/>
      <c r="G72" s="759"/>
      <c r="H72" s="773"/>
      <c r="I72" s="759"/>
      <c r="J72" s="773"/>
      <c r="K72" s="782"/>
      <c r="L72" s="1361"/>
      <c r="M72" s="1361"/>
      <c r="N72" s="1353"/>
      <c r="O72" s="1353"/>
      <c r="P72" s="1354"/>
    </row>
    <row r="73" spans="1:16" ht="30" customHeight="1">
      <c r="A73" s="25"/>
      <c r="B73" s="27"/>
      <c r="C73" s="24"/>
      <c r="D73" s="645"/>
      <c r="E73" s="645"/>
      <c r="F73" s="286"/>
      <c r="G73" s="777"/>
      <c r="H73" s="778"/>
      <c r="I73" s="756"/>
      <c r="J73" s="756"/>
      <c r="K73" s="756"/>
      <c r="L73" s="768"/>
      <c r="M73" s="768"/>
      <c r="N73" s="1378"/>
      <c r="O73" s="1378"/>
      <c r="P73" s="1379"/>
    </row>
    <row r="74" spans="1:16" ht="30" customHeight="1">
      <c r="A74" s="25"/>
      <c r="B74" s="27"/>
      <c r="C74" s="27">
        <v>4125</v>
      </c>
      <c r="D74" s="646"/>
      <c r="E74" s="646"/>
      <c r="F74" s="287"/>
      <c r="G74" s="776"/>
      <c r="H74" s="774"/>
      <c r="I74" s="774"/>
      <c r="J74" s="774"/>
      <c r="K74" s="774"/>
      <c r="L74" s="774"/>
      <c r="M74" s="774"/>
      <c r="N74" s="793"/>
      <c r="O74" s="793"/>
      <c r="P74" s="794"/>
    </row>
    <row r="75" spans="1:16" ht="30" customHeight="1">
      <c r="A75" s="25"/>
      <c r="B75" s="27"/>
      <c r="C75" s="52" t="s">
        <v>536</v>
      </c>
      <c r="D75" s="646">
        <v>29100</v>
      </c>
      <c r="E75" s="655">
        <v>24000</v>
      </c>
      <c r="F75" s="287">
        <f>D75-E75</f>
        <v>5100</v>
      </c>
      <c r="G75" s="781" t="s">
        <v>6</v>
      </c>
      <c r="H75" s="759"/>
      <c r="I75" s="759"/>
      <c r="J75" s="759"/>
      <c r="K75" s="759"/>
      <c r="L75" s="759"/>
      <c r="M75" s="759"/>
      <c r="N75" s="761"/>
      <c r="O75" s="761"/>
      <c r="P75" s="762"/>
    </row>
    <row r="76" spans="1:16" ht="30" customHeight="1">
      <c r="A76" s="25"/>
      <c r="B76" s="27"/>
      <c r="C76" s="24"/>
      <c r="D76" s="645"/>
      <c r="E76" s="645"/>
      <c r="F76" s="286"/>
      <c r="G76" s="759" t="s">
        <v>1039</v>
      </c>
      <c r="H76" s="759"/>
      <c r="I76" s="759"/>
      <c r="J76" s="759"/>
      <c r="K76" s="759"/>
      <c r="L76" s="759"/>
      <c r="M76" s="759"/>
      <c r="N76" s="1351">
        <v>29100000</v>
      </c>
      <c r="O76" s="1351"/>
      <c r="P76" s="1352"/>
    </row>
    <row r="77" spans="1:16" ht="30" customHeight="1">
      <c r="A77" s="25"/>
      <c r="B77" s="27"/>
      <c r="C77" s="27">
        <v>4126</v>
      </c>
      <c r="D77" s="646"/>
      <c r="E77" s="646"/>
      <c r="F77" s="287"/>
      <c r="G77" s="763"/>
      <c r="H77" s="769"/>
      <c r="I77" s="769"/>
      <c r="J77" s="769"/>
      <c r="K77" s="769"/>
      <c r="L77" s="769"/>
      <c r="M77" s="769"/>
      <c r="N77" s="798"/>
      <c r="O77" s="798"/>
      <c r="P77" s="799"/>
    </row>
    <row r="78" spans="1:16" ht="30" customHeight="1">
      <c r="A78" s="25"/>
      <c r="B78" s="27"/>
      <c r="C78" s="27" t="s">
        <v>243</v>
      </c>
      <c r="D78" s="942">
        <v>0</v>
      </c>
      <c r="E78" s="646">
        <v>0</v>
      </c>
      <c r="F78" s="287">
        <f>D78-E78</f>
        <v>0</v>
      </c>
      <c r="G78" s="781"/>
      <c r="H78" s="759"/>
      <c r="I78" s="759"/>
      <c r="J78" s="759"/>
      <c r="K78" s="759"/>
      <c r="L78" s="759"/>
      <c r="M78" s="759"/>
      <c r="N78" s="761"/>
      <c r="O78" s="761"/>
      <c r="P78" s="762"/>
    </row>
    <row r="79" spans="1:16" ht="30" customHeight="1">
      <c r="A79" s="25"/>
      <c r="B79" s="27"/>
      <c r="C79" s="27"/>
      <c r="D79" s="646"/>
      <c r="E79" s="646"/>
      <c r="F79" s="287"/>
      <c r="G79" s="759"/>
      <c r="H79" s="759"/>
      <c r="I79" s="759"/>
      <c r="J79" s="759"/>
      <c r="K79" s="759"/>
      <c r="L79" s="759"/>
      <c r="M79" s="759"/>
      <c r="N79" s="1351"/>
      <c r="O79" s="1351"/>
      <c r="P79" s="1352"/>
    </row>
    <row r="80" spans="1:16" ht="30" customHeight="1">
      <c r="A80" s="25"/>
      <c r="B80" s="27"/>
      <c r="C80" s="28">
        <v>4127</v>
      </c>
      <c r="D80" s="647"/>
      <c r="E80" s="647"/>
      <c r="F80" s="288"/>
      <c r="G80" s="817" t="s">
        <v>120</v>
      </c>
      <c r="H80" s="783"/>
      <c r="I80" s="783"/>
      <c r="J80" s="783"/>
      <c r="K80" s="783"/>
      <c r="L80" s="783"/>
      <c r="M80" s="783"/>
      <c r="N80" s="784"/>
      <c r="O80" s="784"/>
      <c r="P80" s="785"/>
    </row>
    <row r="81" spans="1:16" ht="30" customHeight="1">
      <c r="A81" s="25"/>
      <c r="B81" s="27"/>
      <c r="C81" s="27" t="s">
        <v>244</v>
      </c>
      <c r="D81" s="646">
        <v>169308</v>
      </c>
      <c r="E81" s="655">
        <v>164000</v>
      </c>
      <c r="F81" s="287">
        <f>D81-E81</f>
        <v>5308</v>
      </c>
      <c r="G81" s="781" t="s">
        <v>885</v>
      </c>
      <c r="H81" s="759"/>
      <c r="I81" s="759"/>
      <c r="J81" s="759"/>
      <c r="K81" s="759"/>
      <c r="L81" s="759"/>
      <c r="M81" s="759"/>
      <c r="N81" s="761"/>
      <c r="O81" s="761"/>
      <c r="P81" s="762"/>
    </row>
    <row r="82" spans="1:16" ht="30" customHeight="1">
      <c r="A82" s="25"/>
      <c r="B82" s="27"/>
      <c r="C82" s="27"/>
      <c r="D82" s="646"/>
      <c r="E82" s="646"/>
      <c r="F82" s="287"/>
      <c r="G82" s="759" t="s">
        <v>886</v>
      </c>
      <c r="H82" s="759"/>
      <c r="I82" s="759"/>
      <c r="J82" s="759"/>
      <c r="K82" s="759"/>
      <c r="L82" s="759"/>
      <c r="M82" s="759"/>
      <c r="N82" s="1351">
        <v>49000000</v>
      </c>
      <c r="O82" s="1351"/>
      <c r="P82" s="1352"/>
    </row>
    <row r="83" spans="1:16" ht="30" customHeight="1">
      <c r="A83" s="25"/>
      <c r="B83" s="27"/>
      <c r="C83" s="27"/>
      <c r="D83" s="646"/>
      <c r="E83" s="646"/>
      <c r="F83" s="287"/>
      <c r="G83" s="781" t="s">
        <v>6</v>
      </c>
      <c r="H83" s="759"/>
      <c r="I83" s="759"/>
      <c r="J83" s="759"/>
      <c r="K83" s="759"/>
      <c r="L83" s="759"/>
      <c r="M83" s="759"/>
      <c r="N83" s="761"/>
      <c r="O83" s="761"/>
      <c r="P83" s="762" t="s">
        <v>3</v>
      </c>
    </row>
    <row r="84" spans="1:16" ht="30" customHeight="1">
      <c r="A84" s="25"/>
      <c r="B84" s="27"/>
      <c r="C84" s="27"/>
      <c r="D84" s="646"/>
      <c r="E84" s="646"/>
      <c r="F84" s="287"/>
      <c r="G84" s="781" t="s">
        <v>338</v>
      </c>
      <c r="H84" s="759"/>
      <c r="I84" s="759"/>
      <c r="J84" s="759"/>
      <c r="K84" s="759"/>
      <c r="L84" s="759"/>
      <c r="M84" s="759"/>
      <c r="N84" s="761"/>
      <c r="O84" s="761"/>
      <c r="P84" s="762">
        <v>120308000</v>
      </c>
    </row>
    <row r="85" spans="1:16" ht="30" customHeight="1">
      <c r="A85" s="25"/>
      <c r="B85" s="27"/>
      <c r="C85" s="27"/>
      <c r="D85" s="646"/>
      <c r="E85" s="646"/>
      <c r="F85" s="287"/>
      <c r="G85" s="781" t="s">
        <v>44</v>
      </c>
      <c r="H85" s="773"/>
      <c r="I85" s="759"/>
      <c r="J85" s="759"/>
      <c r="K85" s="759"/>
      <c r="L85" s="760"/>
      <c r="M85" s="760" t="s">
        <v>3</v>
      </c>
      <c r="N85" s="1351">
        <f>SUM(N82:P84)</f>
        <v>169308000</v>
      </c>
      <c r="O85" s="1351"/>
      <c r="P85" s="1352"/>
    </row>
    <row r="86" spans="1:16" ht="27" customHeight="1">
      <c r="A86" s="1073">
        <v>4200</v>
      </c>
      <c r="B86" s="1074"/>
      <c r="C86" s="1074"/>
      <c r="D86" s="1082"/>
      <c r="E86" s="1082"/>
      <c r="F86" s="1083"/>
      <c r="G86" s="1084"/>
      <c r="H86" s="1084"/>
      <c r="I86" s="1084"/>
      <c r="J86" s="1084"/>
      <c r="K86" s="1084"/>
      <c r="L86" s="1084"/>
      <c r="M86" s="1084"/>
      <c r="N86" s="1141"/>
      <c r="O86" s="1141"/>
      <c r="P86" s="1142"/>
    </row>
    <row r="87" spans="1:16" ht="30" customHeight="1">
      <c r="A87" s="25" t="s">
        <v>245</v>
      </c>
      <c r="B87" s="1110"/>
      <c r="C87" s="27"/>
      <c r="D87" s="646">
        <f>D89+D184+D289</f>
        <v>5345886</v>
      </c>
      <c r="E87" s="646">
        <f>E89+E184+E289</f>
        <v>7888284</v>
      </c>
      <c r="F87" s="286">
        <f>D87-E87</f>
        <v>-2542398</v>
      </c>
      <c r="G87" s="759"/>
      <c r="H87" s="759"/>
      <c r="I87" s="759"/>
      <c r="J87" s="759"/>
      <c r="K87" s="759"/>
      <c r="L87" s="759"/>
      <c r="M87" s="759"/>
      <c r="N87" s="761"/>
      <c r="O87" s="761"/>
      <c r="P87" s="762"/>
    </row>
    <row r="88" spans="1:16" ht="30" customHeight="1">
      <c r="A88" s="94"/>
      <c r="B88" s="93">
        <v>4210</v>
      </c>
      <c r="C88" s="95"/>
      <c r="D88" s="647"/>
      <c r="E88" s="647"/>
      <c r="F88" s="288"/>
      <c r="G88" s="783"/>
      <c r="H88" s="783"/>
      <c r="I88" s="783"/>
      <c r="J88" s="783"/>
      <c r="K88" s="783"/>
      <c r="L88" s="783"/>
      <c r="M88" s="783"/>
      <c r="N88" s="784"/>
      <c r="O88" s="784"/>
      <c r="P88" s="785"/>
    </row>
    <row r="89" spans="1:16" ht="30" customHeight="1">
      <c r="A89" s="25"/>
      <c r="B89" s="27" t="s">
        <v>246</v>
      </c>
      <c r="C89" s="24"/>
      <c r="D89" s="645">
        <f>D91+D94+D118+D122+D126+D139+D153+D161</f>
        <v>2820946</v>
      </c>
      <c r="E89" s="645">
        <f>E91+E94+E118+E122+E126+E139+E153+E161</f>
        <v>3560334</v>
      </c>
      <c r="F89" s="286">
        <f>D89-E89</f>
        <v>-739388</v>
      </c>
      <c r="G89" s="756"/>
      <c r="H89" s="756"/>
      <c r="I89" s="756"/>
      <c r="J89" s="756"/>
      <c r="K89" s="756"/>
      <c r="L89" s="756"/>
      <c r="M89" s="756"/>
      <c r="N89" s="757"/>
      <c r="O89" s="757"/>
      <c r="P89" s="758"/>
    </row>
    <row r="90" spans="1:16" ht="30" customHeight="1">
      <c r="A90" s="25"/>
      <c r="B90" s="27"/>
      <c r="C90" s="27">
        <v>4211</v>
      </c>
      <c r="D90" s="646"/>
      <c r="E90" s="646"/>
      <c r="F90" s="287"/>
      <c r="G90" s="1368" t="s">
        <v>1272</v>
      </c>
      <c r="H90" s="1369"/>
      <c r="I90" s="1369"/>
      <c r="J90" s="1369"/>
      <c r="K90" s="1369"/>
      <c r="L90" s="1369"/>
      <c r="M90" s="1369"/>
      <c r="N90" s="1351">
        <v>200000000</v>
      </c>
      <c r="O90" s="1351"/>
      <c r="P90" s="1352"/>
    </row>
    <row r="91" spans="1:16" ht="30" customHeight="1">
      <c r="A91" s="25"/>
      <c r="B91" s="27"/>
      <c r="C91" s="32" t="s">
        <v>247</v>
      </c>
      <c r="D91" s="646">
        <v>467878</v>
      </c>
      <c r="E91" s="655">
        <v>876000</v>
      </c>
      <c r="F91" s="287">
        <f>D91-E91</f>
        <v>-408122</v>
      </c>
      <c r="G91" s="1368" t="s">
        <v>1271</v>
      </c>
      <c r="H91" s="1369"/>
      <c r="I91" s="1369"/>
      <c r="J91" s="1369"/>
      <c r="K91" s="1369"/>
      <c r="L91" s="1369"/>
      <c r="M91" s="1369"/>
      <c r="N91" s="1353">
        <v>267878000</v>
      </c>
      <c r="O91" s="1353"/>
      <c r="P91" s="1354"/>
    </row>
    <row r="92" spans="1:16" ht="30" customHeight="1">
      <c r="A92" s="25"/>
      <c r="B92" s="27"/>
      <c r="C92" s="27"/>
      <c r="D92" s="646"/>
      <c r="E92" s="646"/>
      <c r="F92" s="287"/>
      <c r="G92" s="759" t="s">
        <v>199</v>
      </c>
      <c r="H92" s="759"/>
      <c r="I92" s="759"/>
      <c r="J92" s="759"/>
      <c r="K92" s="759"/>
      <c r="L92" s="756"/>
      <c r="M92" s="756"/>
      <c r="N92" s="1375">
        <f>SUM(N90:P91)</f>
        <v>467878000</v>
      </c>
      <c r="O92" s="1375"/>
      <c r="P92" s="1376"/>
    </row>
    <row r="93" spans="1:16" ht="30" customHeight="1">
      <c r="A93" s="25"/>
      <c r="B93" s="27"/>
      <c r="C93" s="28">
        <v>4212</v>
      </c>
      <c r="D93" s="647"/>
      <c r="E93" s="647"/>
      <c r="F93" s="288"/>
      <c r="G93" s="763"/>
      <c r="H93" s="769"/>
      <c r="I93" s="769"/>
      <c r="J93" s="769"/>
      <c r="K93" s="769"/>
      <c r="L93" s="769"/>
      <c r="M93" s="769"/>
      <c r="N93" s="798"/>
      <c r="O93" s="798"/>
      <c r="P93" s="799"/>
    </row>
    <row r="94" spans="1:16" ht="30" customHeight="1">
      <c r="A94" s="25"/>
      <c r="B94" s="27"/>
      <c r="C94" s="32" t="s">
        <v>248</v>
      </c>
      <c r="D94" s="646">
        <v>380645</v>
      </c>
      <c r="E94" s="655">
        <v>455870</v>
      </c>
      <c r="F94" s="287">
        <f>D94-E94</f>
        <v>-75225</v>
      </c>
      <c r="G94" s="781" t="s">
        <v>651</v>
      </c>
      <c r="H94" s="759"/>
      <c r="I94" s="759"/>
      <c r="J94" s="759"/>
      <c r="K94" s="759"/>
      <c r="L94" s="759"/>
      <c r="M94" s="759"/>
      <c r="N94" s="1351" t="s">
        <v>652</v>
      </c>
      <c r="O94" s="1351"/>
      <c r="P94" s="1352"/>
    </row>
    <row r="95" spans="1:16" ht="30" customHeight="1">
      <c r="A95" s="25"/>
      <c r="B95" s="27"/>
      <c r="C95" s="27"/>
      <c r="D95" s="646"/>
      <c r="E95" s="646"/>
      <c r="F95" s="287"/>
      <c r="G95" s="773" t="s">
        <v>1018</v>
      </c>
      <c r="H95" s="773"/>
      <c r="I95" s="773"/>
      <c r="J95" s="773"/>
      <c r="K95" s="773"/>
      <c r="L95" s="773"/>
      <c r="M95" s="773"/>
      <c r="N95" s="1351">
        <v>10000000</v>
      </c>
      <c r="O95" s="1351"/>
      <c r="P95" s="1352"/>
    </row>
    <row r="96" spans="1:16" ht="30" customHeight="1">
      <c r="A96" s="25"/>
      <c r="B96" s="27"/>
      <c r="C96" s="27"/>
      <c r="D96" s="646"/>
      <c r="E96" s="646"/>
      <c r="F96" s="287"/>
      <c r="G96" s="781" t="s">
        <v>1016</v>
      </c>
      <c r="H96" s="1044"/>
      <c r="I96" s="1044"/>
      <c r="J96" s="1044"/>
      <c r="K96" s="1044"/>
      <c r="L96" s="1044"/>
      <c r="M96" s="1044"/>
      <c r="N96" s="1353">
        <v>7590000</v>
      </c>
      <c r="O96" s="1353"/>
      <c r="P96" s="1354"/>
    </row>
    <row r="97" spans="1:16" ht="30" customHeight="1">
      <c r="A97" s="34"/>
      <c r="B97" s="27"/>
      <c r="C97" s="27"/>
      <c r="D97" s="646"/>
      <c r="E97" s="646"/>
      <c r="F97" s="287"/>
      <c r="G97" s="781" t="s">
        <v>1017</v>
      </c>
      <c r="H97" s="1044"/>
      <c r="I97" s="1044"/>
      <c r="J97" s="1044"/>
      <c r="K97" s="1044"/>
      <c r="L97" s="1044"/>
      <c r="M97" s="1044"/>
      <c r="N97" s="1353">
        <v>5280000</v>
      </c>
      <c r="O97" s="1353"/>
      <c r="P97" s="1354"/>
    </row>
    <row r="98" spans="1:16" ht="30" customHeight="1" hidden="1">
      <c r="A98" s="34"/>
      <c r="B98" s="27"/>
      <c r="C98" s="27"/>
      <c r="D98" s="646"/>
      <c r="E98" s="646"/>
      <c r="F98" s="287"/>
      <c r="G98" s="781"/>
      <c r="H98" s="1044"/>
      <c r="I98" s="1044"/>
      <c r="J98" s="1044"/>
      <c r="K98" s="1044"/>
      <c r="L98" s="1044"/>
      <c r="M98" s="1044"/>
      <c r="N98" s="1353"/>
      <c r="O98" s="1353"/>
      <c r="P98" s="1354"/>
    </row>
    <row r="99" spans="1:16" ht="30" customHeight="1" hidden="1">
      <c r="A99" s="34"/>
      <c r="B99" s="27"/>
      <c r="C99" s="27"/>
      <c r="D99" s="646"/>
      <c r="E99" s="646"/>
      <c r="F99" s="287"/>
      <c r="G99" s="781"/>
      <c r="H99" s="1044"/>
      <c r="I99" s="1044"/>
      <c r="J99" s="1044"/>
      <c r="K99" s="1044"/>
      <c r="L99" s="1044"/>
      <c r="M99" s="1044"/>
      <c r="N99" s="761"/>
      <c r="O99" s="1351"/>
      <c r="P99" s="1352"/>
    </row>
    <row r="100" spans="1:16" ht="30" customHeight="1">
      <c r="A100" s="34"/>
      <c r="B100" s="27"/>
      <c r="C100" s="27"/>
      <c r="D100" s="646"/>
      <c r="E100" s="646"/>
      <c r="F100" s="287"/>
      <c r="G100" s="781" t="s">
        <v>653</v>
      </c>
      <c r="H100" s="1044"/>
      <c r="I100" s="1044"/>
      <c r="J100" s="1044"/>
      <c r="K100" s="1044"/>
      <c r="L100" s="1044"/>
      <c r="M100" s="1044"/>
      <c r="N100" s="1353">
        <f>SUM(N95:P99)</f>
        <v>22870000</v>
      </c>
      <c r="O100" s="1353"/>
      <c r="P100" s="1354"/>
    </row>
    <row r="101" spans="1:16" ht="23.25" customHeight="1">
      <c r="A101" s="34"/>
      <c r="B101" s="27"/>
      <c r="C101" s="27"/>
      <c r="D101" s="646"/>
      <c r="E101" s="646"/>
      <c r="F101" s="287"/>
      <c r="G101" s="781" t="s">
        <v>350</v>
      </c>
      <c r="H101" s="1044"/>
      <c r="I101" s="1044"/>
      <c r="J101" s="1044"/>
      <c r="K101" s="1044"/>
      <c r="L101" s="1044"/>
      <c r="M101" s="1044"/>
      <c r="N101" s="1351" t="s">
        <v>351</v>
      </c>
      <c r="O101" s="1351"/>
      <c r="P101" s="1352"/>
    </row>
    <row r="102" spans="1:16" ht="30" customHeight="1">
      <c r="A102" s="34"/>
      <c r="B102" s="27"/>
      <c r="C102" s="27"/>
      <c r="D102" s="646"/>
      <c r="E102" s="646"/>
      <c r="F102" s="287"/>
      <c r="G102" s="775" t="s">
        <v>1273</v>
      </c>
      <c r="H102" s="796"/>
      <c r="I102" s="796"/>
      <c r="J102" s="796"/>
      <c r="K102" s="796"/>
      <c r="L102" s="796"/>
      <c r="M102" s="796"/>
      <c r="N102" s="1353">
        <v>1080000</v>
      </c>
      <c r="O102" s="1353"/>
      <c r="P102" s="1354"/>
    </row>
    <row r="103" spans="1:16" ht="30" customHeight="1">
      <c r="A103" s="34"/>
      <c r="B103" s="27"/>
      <c r="C103" s="27"/>
      <c r="D103" s="646"/>
      <c r="E103" s="646"/>
      <c r="F103" s="287"/>
      <c r="G103" s="796" t="s">
        <v>627</v>
      </c>
      <c r="I103" s="796"/>
      <c r="J103" s="796"/>
      <c r="K103" s="796"/>
      <c r="L103" s="796"/>
      <c r="M103" s="796"/>
      <c r="N103" s="1353">
        <v>25000000</v>
      </c>
      <c r="O103" s="1353"/>
      <c r="P103" s="1354"/>
    </row>
    <row r="104" spans="1:16" ht="30" customHeight="1">
      <c r="A104" s="41"/>
      <c r="B104" s="26"/>
      <c r="C104" s="26"/>
      <c r="D104" s="651"/>
      <c r="E104" s="651"/>
      <c r="F104" s="302"/>
      <c r="G104" s="796" t="s">
        <v>625</v>
      </c>
      <c r="I104" s="796"/>
      <c r="J104" s="796"/>
      <c r="K104" s="796"/>
      <c r="L104" s="796"/>
      <c r="M104" s="796"/>
      <c r="N104" s="761"/>
      <c r="O104" s="761"/>
      <c r="P104" s="762">
        <v>6920000</v>
      </c>
    </row>
    <row r="105" spans="1:16" ht="30" customHeight="1">
      <c r="A105" s="41"/>
      <c r="B105" s="26"/>
      <c r="C105" s="26"/>
      <c r="D105" s="651"/>
      <c r="E105" s="651"/>
      <c r="F105" s="302"/>
      <c r="G105" s="796" t="s">
        <v>626</v>
      </c>
      <c r="H105" s="773"/>
      <c r="I105" s="796"/>
      <c r="J105" s="796"/>
      <c r="K105" s="796"/>
      <c r="L105" s="796"/>
      <c r="M105" s="796"/>
      <c r="N105" s="1353">
        <v>18500000</v>
      </c>
      <c r="O105" s="1353"/>
      <c r="P105" s="1354"/>
    </row>
    <row r="106" spans="1:16" ht="30" customHeight="1">
      <c r="A106" s="41"/>
      <c r="B106" s="26"/>
      <c r="C106" s="26"/>
      <c r="D106" s="651"/>
      <c r="E106" s="651"/>
      <c r="F106" s="302"/>
      <c r="G106" s="796" t="s">
        <v>1164</v>
      </c>
      <c r="H106" s="773"/>
      <c r="I106" s="796"/>
      <c r="J106" s="796"/>
      <c r="K106" s="796"/>
      <c r="L106" s="796"/>
      <c r="M106" s="796"/>
      <c r="N106" s="1399">
        <v>60000000</v>
      </c>
      <c r="O106" s="1400"/>
      <c r="P106" s="1401"/>
    </row>
    <row r="107" spans="1:16" ht="30" customHeight="1">
      <c r="A107" s="41"/>
      <c r="B107" s="26"/>
      <c r="C107" s="26"/>
      <c r="D107" s="651"/>
      <c r="E107" s="651"/>
      <c r="F107" s="302"/>
      <c r="G107" s="796" t="s">
        <v>352</v>
      </c>
      <c r="H107" s="773"/>
      <c r="I107" s="796"/>
      <c r="J107" s="796"/>
      <c r="K107" s="796"/>
      <c r="L107" s="796"/>
      <c r="M107" s="796"/>
      <c r="N107" s="1399">
        <v>60000000</v>
      </c>
      <c r="O107" s="1400"/>
      <c r="P107" s="1401"/>
    </row>
    <row r="108" spans="1:16" ht="30" customHeight="1">
      <c r="A108" s="34"/>
      <c r="B108" s="27"/>
      <c r="C108" s="27"/>
      <c r="D108" s="646"/>
      <c r="E108" s="646"/>
      <c r="F108" s="287"/>
      <c r="G108" s="796" t="s">
        <v>628</v>
      </c>
      <c r="H108" s="773"/>
      <c r="I108" s="796"/>
      <c r="J108" s="796"/>
      <c r="K108" s="796"/>
      <c r="L108" s="796"/>
      <c r="M108" s="796"/>
      <c r="N108" s="1399">
        <v>4500000</v>
      </c>
      <c r="O108" s="1400"/>
      <c r="P108" s="1401"/>
    </row>
    <row r="109" spans="1:16" ht="30" customHeight="1">
      <c r="A109" s="34"/>
      <c r="B109" s="27"/>
      <c r="C109" s="27"/>
      <c r="D109" s="646"/>
      <c r="E109" s="646"/>
      <c r="F109" s="287"/>
      <c r="G109" s="796" t="s">
        <v>353</v>
      </c>
      <c r="H109" s="773"/>
      <c r="I109" s="796"/>
      <c r="J109" s="796"/>
      <c r="K109" s="796"/>
      <c r="L109" s="796"/>
      <c r="M109" s="796"/>
      <c r="N109" s="1399">
        <v>6000000</v>
      </c>
      <c r="O109" s="1400"/>
      <c r="P109" s="1401"/>
    </row>
    <row r="110" spans="1:16" ht="30" customHeight="1">
      <c r="A110" s="34"/>
      <c r="B110" s="27"/>
      <c r="C110" s="27"/>
      <c r="D110" s="646"/>
      <c r="E110" s="646"/>
      <c r="F110" s="287"/>
      <c r="G110" s="796" t="s">
        <v>1165</v>
      </c>
      <c r="H110" s="773"/>
      <c r="I110" s="796"/>
      <c r="J110" s="796"/>
      <c r="K110" s="796"/>
      <c r="L110" s="796"/>
      <c r="M110" s="796"/>
      <c r="N110" s="761"/>
      <c r="O110" s="761"/>
      <c r="P110" s="762">
        <v>120000000</v>
      </c>
    </row>
    <row r="111" spans="1:16" ht="30" customHeight="1">
      <c r="A111" s="34"/>
      <c r="B111" s="27"/>
      <c r="C111" s="27"/>
      <c r="D111" s="646"/>
      <c r="E111" s="646"/>
      <c r="F111" s="287"/>
      <c r="G111" s="796" t="s">
        <v>354</v>
      </c>
      <c r="I111" s="796"/>
      <c r="J111" s="796"/>
      <c r="K111" s="796"/>
      <c r="L111" s="796"/>
      <c r="M111" s="796"/>
      <c r="N111" s="1353">
        <v>5000000</v>
      </c>
      <c r="O111" s="1353"/>
      <c r="P111" s="1354"/>
    </row>
    <row r="112" spans="1:16" ht="30" customHeight="1">
      <c r="A112" s="34"/>
      <c r="B112" s="27"/>
      <c r="C112" s="27"/>
      <c r="D112" s="646"/>
      <c r="E112" s="646"/>
      <c r="F112" s="287"/>
      <c r="G112" s="796" t="s">
        <v>355</v>
      </c>
      <c r="I112" s="796"/>
      <c r="J112" s="796"/>
      <c r="K112" s="796"/>
      <c r="L112" s="796"/>
      <c r="M112" s="796"/>
      <c r="N112" s="1353">
        <v>30000000</v>
      </c>
      <c r="O112" s="1353"/>
      <c r="P112" s="1354"/>
    </row>
    <row r="113" spans="1:16" ht="30" customHeight="1">
      <c r="A113" s="34"/>
      <c r="B113" s="27"/>
      <c r="C113" s="27"/>
      <c r="D113" s="646"/>
      <c r="E113" s="646"/>
      <c r="F113" s="287"/>
      <c r="G113" s="796" t="s">
        <v>356</v>
      </c>
      <c r="I113" s="796"/>
      <c r="J113" s="796"/>
      <c r="K113" s="796"/>
      <c r="L113" s="796"/>
      <c r="M113" s="796"/>
      <c r="N113" s="1353">
        <v>5000000</v>
      </c>
      <c r="O113" s="1353"/>
      <c r="P113" s="1354"/>
    </row>
    <row r="114" spans="1:16" ht="30" customHeight="1">
      <c r="A114" s="34"/>
      <c r="B114" s="27"/>
      <c r="C114" s="27"/>
      <c r="D114" s="646"/>
      <c r="E114" s="646"/>
      <c r="F114" s="287"/>
      <c r="G114" s="796" t="s">
        <v>960</v>
      </c>
      <c r="H114" s="773"/>
      <c r="I114" s="796"/>
      <c r="J114" s="796"/>
      <c r="K114" s="796"/>
      <c r="L114" s="796"/>
      <c r="M114" s="796"/>
      <c r="N114" s="761"/>
      <c r="O114" s="761"/>
      <c r="P114" s="762">
        <v>15775000</v>
      </c>
    </row>
    <row r="115" spans="1:16" ht="30" customHeight="1">
      <c r="A115" s="34"/>
      <c r="B115" s="27"/>
      <c r="C115" s="27"/>
      <c r="D115" s="646"/>
      <c r="E115" s="646"/>
      <c r="F115" s="287"/>
      <c r="G115" s="759" t="s">
        <v>361</v>
      </c>
      <c r="H115" s="773"/>
      <c r="I115" s="796"/>
      <c r="J115" s="796"/>
      <c r="K115" s="796"/>
      <c r="L115" s="796"/>
      <c r="M115" s="796"/>
      <c r="N115" s="761"/>
      <c r="O115" s="761"/>
      <c r="P115" s="762">
        <f>SUM(N102:P114)</f>
        <v>357775000</v>
      </c>
    </row>
    <row r="116" spans="1:18" ht="30" customHeight="1">
      <c r="A116" s="34"/>
      <c r="B116" s="27"/>
      <c r="C116" s="306"/>
      <c r="D116" s="650"/>
      <c r="E116" s="650"/>
      <c r="F116" s="294"/>
      <c r="G116" s="791" t="s">
        <v>362</v>
      </c>
      <c r="H116" s="791"/>
      <c r="I116" s="791"/>
      <c r="J116" s="791"/>
      <c r="K116" s="791"/>
      <c r="L116" s="791"/>
      <c r="M116" s="791"/>
      <c r="N116" s="1375">
        <f>SUM(N100+P115)</f>
        <v>380645000</v>
      </c>
      <c r="O116" s="1375"/>
      <c r="P116" s="1376"/>
      <c r="Q116" s="1">
        <v>353539000</v>
      </c>
      <c r="R116" s="827">
        <f>SUM(N116-Q116)</f>
        <v>27106000</v>
      </c>
    </row>
    <row r="117" spans="1:16" ht="21.75" customHeight="1">
      <c r="A117" s="25"/>
      <c r="B117" s="27"/>
      <c r="C117" s="27">
        <v>4213</v>
      </c>
      <c r="D117" s="646"/>
      <c r="E117" s="646"/>
      <c r="F117" s="287"/>
      <c r="G117" s="776"/>
      <c r="H117" s="774"/>
      <c r="I117" s="774"/>
      <c r="J117" s="774"/>
      <c r="K117" s="774"/>
      <c r="L117" s="774"/>
      <c r="M117" s="774"/>
      <c r="N117" s="793"/>
      <c r="O117" s="793"/>
      <c r="P117" s="794"/>
    </row>
    <row r="118" spans="1:16" ht="30" customHeight="1">
      <c r="A118" s="25"/>
      <c r="B118" s="27"/>
      <c r="C118" s="27" t="s">
        <v>250</v>
      </c>
      <c r="D118" s="646">
        <v>0</v>
      </c>
      <c r="E118" s="646">
        <v>10000</v>
      </c>
      <c r="F118" s="287">
        <f>D118-E118</f>
        <v>-10000</v>
      </c>
      <c r="G118" s="759"/>
      <c r="H118" s="759"/>
      <c r="I118" s="759"/>
      <c r="J118" s="759"/>
      <c r="K118" s="759"/>
      <c r="L118" s="759"/>
      <c r="M118" s="759"/>
      <c r="N118" s="1351" t="s">
        <v>351</v>
      </c>
      <c r="O118" s="1351"/>
      <c r="P118" s="1352"/>
    </row>
    <row r="119" spans="1:16" ht="30" customHeight="1">
      <c r="A119" s="25"/>
      <c r="B119" s="27"/>
      <c r="C119" s="27"/>
      <c r="D119" s="646"/>
      <c r="E119" s="646"/>
      <c r="F119" s="287"/>
      <c r="G119" s="759"/>
      <c r="H119" s="773"/>
      <c r="I119" s="796"/>
      <c r="J119" s="796"/>
      <c r="K119" s="796"/>
      <c r="L119" s="796"/>
      <c r="M119" s="796"/>
      <c r="N119" s="1353"/>
      <c r="O119" s="1353"/>
      <c r="P119" s="1354"/>
    </row>
    <row r="120" spans="1:16" ht="30" customHeight="1">
      <c r="A120" s="25"/>
      <c r="B120" s="27"/>
      <c r="C120" s="27"/>
      <c r="D120" s="646"/>
      <c r="E120" s="646"/>
      <c r="F120" s="287"/>
      <c r="G120" s="781"/>
      <c r="H120" s="759"/>
      <c r="I120" s="796"/>
      <c r="J120" s="796"/>
      <c r="K120" s="796"/>
      <c r="L120" s="759"/>
      <c r="M120" s="759"/>
      <c r="N120" s="1353"/>
      <c r="O120" s="1353"/>
      <c r="P120" s="1354"/>
    </row>
    <row r="121" spans="1:16" ht="25.5" customHeight="1">
      <c r="A121" s="25"/>
      <c r="B121" s="27"/>
      <c r="C121" s="28">
        <v>4214</v>
      </c>
      <c r="D121" s="647"/>
      <c r="E121" s="647"/>
      <c r="F121" s="288"/>
      <c r="G121" s="764"/>
      <c r="H121" s="769"/>
      <c r="I121" s="769"/>
      <c r="J121" s="769"/>
      <c r="K121" s="769"/>
      <c r="L121" s="769"/>
      <c r="M121" s="769"/>
      <c r="N121" s="798"/>
      <c r="O121" s="798"/>
      <c r="P121" s="799"/>
    </row>
    <row r="122" spans="1:16" ht="30" customHeight="1">
      <c r="A122" s="25"/>
      <c r="B122" s="27"/>
      <c r="C122" s="32" t="s">
        <v>251</v>
      </c>
      <c r="D122" s="646">
        <v>0</v>
      </c>
      <c r="E122" s="646">
        <v>10000</v>
      </c>
      <c r="F122" s="287">
        <f>D122-E122</f>
        <v>-10000</v>
      </c>
      <c r="G122" s="776"/>
      <c r="H122" s="773"/>
      <c r="I122" s="773"/>
      <c r="J122" s="773"/>
      <c r="K122" s="773"/>
      <c r="L122" s="773"/>
      <c r="M122" s="773"/>
      <c r="N122" s="761"/>
      <c r="O122" s="761"/>
      <c r="P122" s="762"/>
    </row>
    <row r="123" spans="1:16" ht="27" customHeight="1">
      <c r="A123" s="25"/>
      <c r="B123" s="27"/>
      <c r="C123" s="27"/>
      <c r="D123" s="646"/>
      <c r="E123" s="646"/>
      <c r="F123" s="287"/>
      <c r="G123" s="759"/>
      <c r="H123" s="773"/>
      <c r="I123" s="796"/>
      <c r="J123" s="796"/>
      <c r="K123" s="796"/>
      <c r="L123" s="796"/>
      <c r="M123" s="796"/>
      <c r="N123" s="1353"/>
      <c r="O123" s="1353"/>
      <c r="P123" s="1354"/>
    </row>
    <row r="124" spans="1:16" ht="27" customHeight="1">
      <c r="A124" s="25"/>
      <c r="B124" s="27"/>
      <c r="C124" s="24"/>
      <c r="D124" s="645"/>
      <c r="E124" s="645"/>
      <c r="F124" s="286"/>
      <c r="G124" s="777"/>
      <c r="H124" s="756"/>
      <c r="I124" s="800"/>
      <c r="J124" s="800"/>
      <c r="K124" s="800"/>
      <c r="L124" s="756"/>
      <c r="M124" s="756"/>
      <c r="N124" s="1375"/>
      <c r="O124" s="1375"/>
      <c r="P124" s="1376"/>
    </row>
    <row r="125" spans="1:16" ht="23.25" customHeight="1">
      <c r="A125" s="25"/>
      <c r="B125" s="27"/>
      <c r="C125" s="27">
        <v>4215</v>
      </c>
      <c r="D125" s="646"/>
      <c r="E125" s="646"/>
      <c r="F125" s="287"/>
      <c r="G125" s="773"/>
      <c r="H125" s="774"/>
      <c r="I125" s="774"/>
      <c r="J125" s="774"/>
      <c r="K125" s="774"/>
      <c r="L125" s="774"/>
      <c r="M125" s="774"/>
      <c r="N125" s="793"/>
      <c r="O125" s="793"/>
      <c r="P125" s="794"/>
    </row>
    <row r="126" spans="1:16" ht="30" customHeight="1">
      <c r="A126" s="25"/>
      <c r="B126" s="27"/>
      <c r="C126" s="27" t="s">
        <v>252</v>
      </c>
      <c r="D126" s="646">
        <v>1518497</v>
      </c>
      <c r="E126" s="655">
        <v>1620800</v>
      </c>
      <c r="F126" s="287">
        <f>D126-E126</f>
        <v>-102303</v>
      </c>
      <c r="G126" s="759" t="s">
        <v>885</v>
      </c>
      <c r="H126" s="759"/>
      <c r="I126" s="759"/>
      <c r="J126" s="759"/>
      <c r="K126" s="759"/>
      <c r="L126" s="759"/>
      <c r="M126" s="759"/>
      <c r="N126" s="1351" t="s">
        <v>887</v>
      </c>
      <c r="O126" s="1351"/>
      <c r="P126" s="1352"/>
    </row>
    <row r="127" spans="1:16" ht="30" customHeight="1">
      <c r="A127" s="25"/>
      <c r="B127" s="27"/>
      <c r="C127" s="27"/>
      <c r="D127" s="646"/>
      <c r="E127" s="646"/>
      <c r="F127" s="287"/>
      <c r="G127" s="773" t="s">
        <v>889</v>
      </c>
      <c r="H127" s="773"/>
      <c r="I127" s="773"/>
      <c r="J127" s="773" t="s">
        <v>890</v>
      </c>
      <c r="K127" s="773" t="s">
        <v>891</v>
      </c>
      <c r="L127" s="1390">
        <v>13000000</v>
      </c>
      <c r="M127" s="1390"/>
      <c r="N127" s="1351">
        <v>156000000</v>
      </c>
      <c r="O127" s="1351"/>
      <c r="P127" s="1352"/>
    </row>
    <row r="128" spans="1:16" ht="30" customHeight="1">
      <c r="A128" s="25"/>
      <c r="B128" s="27"/>
      <c r="C128" s="27"/>
      <c r="D128" s="646"/>
      <c r="E128" s="646"/>
      <c r="F128" s="287"/>
      <c r="G128" s="781" t="s">
        <v>892</v>
      </c>
      <c r="H128" s="1046"/>
      <c r="I128" s="1046"/>
      <c r="J128" s="1046" t="s">
        <v>893</v>
      </c>
      <c r="K128" s="1046" t="s">
        <v>160</v>
      </c>
      <c r="L128" s="1402">
        <v>9000000</v>
      </c>
      <c r="M128" s="1402"/>
      <c r="N128" s="1353">
        <v>108000000</v>
      </c>
      <c r="O128" s="1353"/>
      <c r="P128" s="1354"/>
    </row>
    <row r="129" spans="1:16" ht="30" customHeight="1">
      <c r="A129" s="25"/>
      <c r="B129" s="27"/>
      <c r="C129" s="27"/>
      <c r="D129" s="646"/>
      <c r="E129" s="646"/>
      <c r="F129" s="287"/>
      <c r="G129" s="781" t="s">
        <v>894</v>
      </c>
      <c r="H129" s="1046"/>
      <c r="I129" s="1046"/>
      <c r="J129" s="1046"/>
      <c r="K129" s="1046"/>
      <c r="L129" s="1046"/>
      <c r="M129" s="1046"/>
      <c r="N129" s="1353">
        <v>50000000</v>
      </c>
      <c r="O129" s="1353"/>
      <c r="P129" s="1354"/>
    </row>
    <row r="130" spans="1:16" ht="30" customHeight="1">
      <c r="A130" s="25"/>
      <c r="B130" s="27"/>
      <c r="C130" s="27"/>
      <c r="D130" s="646"/>
      <c r="E130" s="646"/>
      <c r="F130" s="287"/>
      <c r="G130" s="781" t="s">
        <v>895</v>
      </c>
      <c r="H130" s="1046"/>
      <c r="I130" s="1046"/>
      <c r="J130" s="1046" t="s">
        <v>893</v>
      </c>
      <c r="K130" s="1046" t="s">
        <v>160</v>
      </c>
      <c r="L130" s="1402">
        <v>2500000</v>
      </c>
      <c r="M130" s="1402"/>
      <c r="N130" s="1353">
        <v>30000000</v>
      </c>
      <c r="O130" s="1353"/>
      <c r="P130" s="1354"/>
    </row>
    <row r="131" spans="1:16" ht="30" customHeight="1">
      <c r="A131" s="25"/>
      <c r="B131" s="27"/>
      <c r="C131" s="27"/>
      <c r="D131" s="646"/>
      <c r="E131" s="646"/>
      <c r="F131" s="287"/>
      <c r="G131" s="782" t="s">
        <v>961</v>
      </c>
      <c r="H131" s="1046"/>
      <c r="I131" s="1046"/>
      <c r="J131" s="1046"/>
      <c r="K131" s="1046"/>
      <c r="L131" s="1046"/>
      <c r="M131" s="1046"/>
      <c r="N131" s="1353">
        <f>SUM(N127:P130)</f>
        <v>344000000</v>
      </c>
      <c r="O131" s="1353"/>
      <c r="P131" s="1354"/>
    </row>
    <row r="132" spans="1:16" ht="34.5" customHeight="1">
      <c r="A132" s="25"/>
      <c r="B132" s="27"/>
      <c r="C132" s="27"/>
      <c r="D132" s="646"/>
      <c r="E132" s="646"/>
      <c r="F132" s="287"/>
      <c r="G132" s="1364" t="s">
        <v>1161</v>
      </c>
      <c r="H132" s="1365"/>
      <c r="I132" s="1365"/>
      <c r="J132" s="1365"/>
      <c r="K132" s="1365"/>
      <c r="L132" s="1365"/>
      <c r="M132" s="1365"/>
      <c r="N132" s="1353">
        <f>49900000*12</f>
        <v>598800000</v>
      </c>
      <c r="O132" s="1353"/>
      <c r="P132" s="1354"/>
    </row>
    <row r="133" spans="1:16" ht="34.5" customHeight="1">
      <c r="A133" s="25"/>
      <c r="B133" s="27"/>
      <c r="C133" s="27"/>
      <c r="D133" s="646"/>
      <c r="E133" s="646"/>
      <c r="F133" s="287"/>
      <c r="G133" s="1364" t="s">
        <v>1162</v>
      </c>
      <c r="H133" s="1365"/>
      <c r="I133" s="1365"/>
      <c r="J133" s="1365"/>
      <c r="K133" s="1365"/>
      <c r="L133" s="1365"/>
      <c r="M133" s="1365"/>
      <c r="N133" s="1353">
        <f>19300000*12</f>
        <v>231600000</v>
      </c>
      <c r="O133" s="1353"/>
      <c r="P133" s="1354"/>
    </row>
    <row r="134" spans="1:16" ht="34.5" customHeight="1">
      <c r="A134" s="25"/>
      <c r="B134" s="27"/>
      <c r="C134" s="27"/>
      <c r="D134" s="646"/>
      <c r="E134" s="646"/>
      <c r="F134" s="287"/>
      <c r="G134" s="1046" t="s">
        <v>1163</v>
      </c>
      <c r="I134" s="1046"/>
      <c r="J134" s="1046"/>
      <c r="K134" s="1046"/>
      <c r="L134" s="1046"/>
      <c r="M134" s="1046"/>
      <c r="N134" s="1353">
        <f>23300000*12</f>
        <v>279600000</v>
      </c>
      <c r="O134" s="1353"/>
      <c r="P134" s="1354"/>
    </row>
    <row r="135" spans="1:16" ht="34.5" customHeight="1">
      <c r="A135" s="25"/>
      <c r="B135" s="27"/>
      <c r="C135" s="27"/>
      <c r="D135" s="646"/>
      <c r="E135" s="646"/>
      <c r="F135" s="287"/>
      <c r="G135" s="1046" t="s">
        <v>1274</v>
      </c>
      <c r="I135" s="1046"/>
      <c r="J135" s="1046"/>
      <c r="K135" s="1046"/>
      <c r="L135" s="1046"/>
      <c r="M135" s="1046"/>
      <c r="N135" s="761"/>
      <c r="O135" s="761"/>
      <c r="P135" s="762">
        <v>64497000</v>
      </c>
    </row>
    <row r="136" spans="1:16" ht="34.5" customHeight="1">
      <c r="A136" s="25"/>
      <c r="B136" s="27"/>
      <c r="C136" s="27"/>
      <c r="D136" s="646"/>
      <c r="E136" s="646"/>
      <c r="F136" s="287"/>
      <c r="G136" s="759" t="s">
        <v>360</v>
      </c>
      <c r="H136" s="1048"/>
      <c r="I136" s="1048"/>
      <c r="J136" s="1048"/>
      <c r="K136" s="1048"/>
      <c r="L136" s="1048"/>
      <c r="M136" s="1046"/>
      <c r="N136" s="761"/>
      <c r="O136" s="761"/>
      <c r="P136" s="762">
        <f>SUM(N132:P135)</f>
        <v>1174497000</v>
      </c>
    </row>
    <row r="137" spans="1:16" ht="34.5" customHeight="1">
      <c r="A137" s="25"/>
      <c r="B137" s="27"/>
      <c r="C137" s="27"/>
      <c r="D137" s="646"/>
      <c r="E137" s="646"/>
      <c r="F137" s="287"/>
      <c r="G137" s="777" t="s">
        <v>358</v>
      </c>
      <c r="H137" s="796"/>
      <c r="I137" s="796"/>
      <c r="J137" s="759"/>
      <c r="K137" s="759"/>
      <c r="L137" s="756"/>
      <c r="M137" s="756"/>
      <c r="N137" s="1375">
        <f>SUM(N131+P136)</f>
        <v>1518497000</v>
      </c>
      <c r="O137" s="1375"/>
      <c r="P137" s="1376"/>
    </row>
    <row r="138" spans="1:16" ht="34.5" customHeight="1">
      <c r="A138" s="25"/>
      <c r="B138" s="27"/>
      <c r="C138" s="28">
        <v>4216</v>
      </c>
      <c r="D138" s="647"/>
      <c r="E138" s="647"/>
      <c r="F138" s="288"/>
      <c r="G138" s="781" t="s">
        <v>337</v>
      </c>
      <c r="H138" s="769"/>
      <c r="I138" s="769"/>
      <c r="J138" s="769"/>
      <c r="K138" s="769"/>
      <c r="L138" s="769"/>
      <c r="M138" s="769"/>
      <c r="N138" s="798"/>
      <c r="O138" s="798"/>
      <c r="P138" s="799"/>
    </row>
    <row r="139" spans="1:16" ht="34.5" customHeight="1">
      <c r="A139" s="25"/>
      <c r="B139" s="27"/>
      <c r="C139" s="27" t="s">
        <v>253</v>
      </c>
      <c r="D139" s="646">
        <v>68204</v>
      </c>
      <c r="E139" s="646">
        <v>98500</v>
      </c>
      <c r="F139" s="287">
        <f>D139-E139</f>
        <v>-30296</v>
      </c>
      <c r="G139" s="759" t="s">
        <v>1171</v>
      </c>
      <c r="H139" s="759"/>
      <c r="I139" s="759"/>
      <c r="J139" s="759"/>
      <c r="K139" s="759"/>
      <c r="L139" s="759"/>
      <c r="M139" s="760"/>
      <c r="N139" s="803"/>
      <c r="O139" s="803"/>
      <c r="P139" s="1049">
        <v>9000000</v>
      </c>
    </row>
    <row r="140" spans="1:16" ht="34.5" customHeight="1">
      <c r="A140" s="25"/>
      <c r="B140" s="27"/>
      <c r="C140" s="27"/>
      <c r="D140" s="646"/>
      <c r="E140" s="646"/>
      <c r="F140" s="287"/>
      <c r="G140" s="1050" t="s">
        <v>1172</v>
      </c>
      <c r="H140" s="773"/>
      <c r="I140" s="773"/>
      <c r="J140" s="773"/>
      <c r="K140" s="773"/>
      <c r="L140" s="773"/>
      <c r="M140" s="773"/>
      <c r="N140" s="1051"/>
      <c r="O140" s="1051"/>
      <c r="P140" s="1049">
        <v>1500000</v>
      </c>
    </row>
    <row r="141" spans="1:16" ht="34.5" customHeight="1">
      <c r="A141" s="25"/>
      <c r="B141" s="27"/>
      <c r="C141" s="27"/>
      <c r="D141" s="646"/>
      <c r="E141" s="646"/>
      <c r="F141" s="287"/>
      <c r="G141" s="1050" t="s">
        <v>1173</v>
      </c>
      <c r="H141" s="773"/>
      <c r="I141" s="773"/>
      <c r="J141" s="773"/>
      <c r="K141" s="773"/>
      <c r="L141" s="773"/>
      <c r="M141" s="773"/>
      <c r="N141" s="1051"/>
      <c r="O141" s="1051"/>
      <c r="P141" s="1049">
        <v>2000000</v>
      </c>
    </row>
    <row r="142" spans="1:16" ht="34.5" customHeight="1">
      <c r="A142" s="25"/>
      <c r="B142" s="27"/>
      <c r="C142" s="27"/>
      <c r="D142" s="646"/>
      <c r="E142" s="646"/>
      <c r="F142" s="287"/>
      <c r="G142" s="1050" t="s">
        <v>1275</v>
      </c>
      <c r="H142" s="773"/>
      <c r="I142" s="773"/>
      <c r="J142" s="773"/>
      <c r="K142" s="773"/>
      <c r="L142" s="773"/>
      <c r="M142" s="773"/>
      <c r="N142" s="1051"/>
      <c r="O142" s="1051"/>
      <c r="P142" s="1049">
        <v>2400000</v>
      </c>
    </row>
    <row r="143" spans="1:16" ht="34.5" customHeight="1">
      <c r="A143" s="25"/>
      <c r="B143" s="27"/>
      <c r="C143" s="27"/>
      <c r="D143" s="646"/>
      <c r="E143" s="646"/>
      <c r="F143" s="287"/>
      <c r="G143" s="1050" t="s">
        <v>1174</v>
      </c>
      <c r="H143" s="796"/>
      <c r="I143" s="759"/>
      <c r="J143" s="759"/>
      <c r="K143" s="759"/>
      <c r="L143" s="759"/>
      <c r="M143" s="760"/>
      <c r="N143" s="1051"/>
      <c r="O143" s="1051"/>
      <c r="P143" s="1049">
        <v>600000</v>
      </c>
    </row>
    <row r="144" spans="1:16" ht="34.5" customHeight="1">
      <c r="A144" s="25"/>
      <c r="B144" s="27"/>
      <c r="C144" s="27"/>
      <c r="D144" s="646"/>
      <c r="E144" s="646"/>
      <c r="F144" s="287"/>
      <c r="G144" s="781" t="s">
        <v>654</v>
      </c>
      <c r="H144" s="796"/>
      <c r="I144" s="759"/>
      <c r="J144" s="759"/>
      <c r="K144" s="759"/>
      <c r="L144" s="759"/>
      <c r="M144" s="760"/>
      <c r="N144" s="1407">
        <f>SUM(P139:P143)</f>
        <v>15500000</v>
      </c>
      <c r="O144" s="1407"/>
      <c r="P144" s="1408"/>
    </row>
    <row r="145" spans="1:16" ht="30" customHeight="1">
      <c r="A145" s="25"/>
      <c r="B145" s="27"/>
      <c r="C145" s="27"/>
      <c r="D145" s="646"/>
      <c r="E145" s="646"/>
      <c r="F145" s="287"/>
      <c r="G145" s="781" t="s">
        <v>350</v>
      </c>
      <c r="H145" s="796"/>
      <c r="I145" s="759"/>
      <c r="J145" s="759"/>
      <c r="K145" s="759"/>
      <c r="L145" s="759"/>
      <c r="M145" s="760"/>
      <c r="N145" s="1351" t="s">
        <v>351</v>
      </c>
      <c r="O145" s="1351"/>
      <c r="P145" s="1352"/>
    </row>
    <row r="146" spans="1:16" ht="30" customHeight="1">
      <c r="A146" s="25"/>
      <c r="B146" s="27"/>
      <c r="C146" s="27"/>
      <c r="D146" s="646"/>
      <c r="E146" s="646"/>
      <c r="F146" s="287"/>
      <c r="G146" s="796" t="s">
        <v>1041</v>
      </c>
      <c r="I146" s="759"/>
      <c r="J146" s="759"/>
      <c r="K146" s="759"/>
      <c r="L146" s="759"/>
      <c r="M146" s="760"/>
      <c r="N146" s="1351">
        <v>1000000</v>
      </c>
      <c r="O146" s="1351"/>
      <c r="P146" s="1352"/>
    </row>
    <row r="147" spans="1:16" ht="30" customHeight="1">
      <c r="A147" s="25"/>
      <c r="B147" s="27"/>
      <c r="C147" s="27"/>
      <c r="D147" s="646"/>
      <c r="E147" s="646"/>
      <c r="F147" s="287"/>
      <c r="G147" s="796" t="s">
        <v>79</v>
      </c>
      <c r="I147" s="759"/>
      <c r="J147" s="759"/>
      <c r="K147" s="759"/>
      <c r="L147" s="759"/>
      <c r="M147" s="760"/>
      <c r="N147" s="1351">
        <v>3000000</v>
      </c>
      <c r="O147" s="1351"/>
      <c r="P147" s="1352"/>
    </row>
    <row r="148" spans="1:16" ht="30" customHeight="1">
      <c r="A148" s="25"/>
      <c r="B148" s="27"/>
      <c r="C148" s="27"/>
      <c r="D148" s="646"/>
      <c r="E148" s="646"/>
      <c r="F148" s="287"/>
      <c r="G148" s="796" t="s">
        <v>1040</v>
      </c>
      <c r="H148" s="773"/>
      <c r="I148" s="759"/>
      <c r="J148" s="759"/>
      <c r="K148" s="759"/>
      <c r="L148" s="759"/>
      <c r="M148" s="760"/>
      <c r="N148" s="1351">
        <v>6704000</v>
      </c>
      <c r="O148" s="1351"/>
      <c r="P148" s="1352"/>
    </row>
    <row r="149" spans="1:16" ht="30" customHeight="1">
      <c r="A149" s="25"/>
      <c r="B149" s="27"/>
      <c r="C149" s="27"/>
      <c r="D149" s="646"/>
      <c r="E149" s="646"/>
      <c r="F149" s="287"/>
      <c r="G149" s="796" t="s">
        <v>1070</v>
      </c>
      <c r="I149" s="759"/>
      <c r="J149" s="759"/>
      <c r="K149" s="759"/>
      <c r="L149" s="759"/>
      <c r="M149" s="760"/>
      <c r="N149" s="1351">
        <v>42000000</v>
      </c>
      <c r="O149" s="1351"/>
      <c r="P149" s="1352"/>
    </row>
    <row r="150" spans="1:16" ht="30" customHeight="1">
      <c r="A150" s="25"/>
      <c r="B150" s="27"/>
      <c r="C150" s="27"/>
      <c r="D150" s="646"/>
      <c r="E150" s="646"/>
      <c r="F150" s="287"/>
      <c r="G150" s="796" t="s">
        <v>374</v>
      </c>
      <c r="H150" s="773"/>
      <c r="I150" s="759"/>
      <c r="J150" s="759"/>
      <c r="K150" s="759"/>
      <c r="L150" s="759"/>
      <c r="M150" s="759"/>
      <c r="N150" s="760"/>
      <c r="O150" s="760"/>
      <c r="P150" s="788">
        <f>SUM(N146:P149)</f>
        <v>52704000</v>
      </c>
    </row>
    <row r="151" spans="1:16" ht="30" customHeight="1">
      <c r="A151" s="25"/>
      <c r="B151" s="27"/>
      <c r="C151" s="27"/>
      <c r="D151" s="646"/>
      <c r="E151" s="646"/>
      <c r="F151" s="287"/>
      <c r="G151" s="759" t="s">
        <v>358</v>
      </c>
      <c r="H151" s="759"/>
      <c r="I151" s="759"/>
      <c r="J151" s="759"/>
      <c r="K151" s="759"/>
      <c r="L151" s="759"/>
      <c r="M151" s="768"/>
      <c r="N151" s="1411">
        <f>SUM(N144+P150)</f>
        <v>68204000</v>
      </c>
      <c r="O151" s="1411"/>
      <c r="P151" s="1412"/>
    </row>
    <row r="152" spans="1:16" ht="30" customHeight="1">
      <c r="A152" s="25"/>
      <c r="B152" s="27"/>
      <c r="C152" s="28">
        <v>4217</v>
      </c>
      <c r="D152" s="647"/>
      <c r="E152" s="647"/>
      <c r="F152" s="288"/>
      <c r="G152" s="763"/>
      <c r="H152" s="769"/>
      <c r="I152" s="769"/>
      <c r="J152" s="769"/>
      <c r="K152" s="769"/>
      <c r="L152" s="769"/>
      <c r="M152" s="769"/>
      <c r="N152" s="798"/>
      <c r="O152" s="798"/>
      <c r="P152" s="799"/>
    </row>
    <row r="153" spans="1:16" ht="24" customHeight="1">
      <c r="A153" s="25"/>
      <c r="B153" s="27"/>
      <c r="C153" s="27" t="s">
        <v>254</v>
      </c>
      <c r="D153" s="646">
        <v>13285</v>
      </c>
      <c r="E153" s="655">
        <v>14664</v>
      </c>
      <c r="F153" s="287">
        <f>D153-E153</f>
        <v>-1379</v>
      </c>
      <c r="G153" s="781" t="s">
        <v>651</v>
      </c>
      <c r="H153" s="759"/>
      <c r="I153" s="759"/>
      <c r="J153" s="759"/>
      <c r="K153" s="759"/>
      <c r="L153" s="759"/>
      <c r="M153" s="760"/>
      <c r="N153" s="1351" t="s">
        <v>652</v>
      </c>
      <c r="O153" s="1351"/>
      <c r="P153" s="1352"/>
    </row>
    <row r="154" spans="1:16" ht="24" customHeight="1">
      <c r="A154" s="25"/>
      <c r="B154" s="27"/>
      <c r="C154" s="27"/>
      <c r="D154" s="646"/>
      <c r="E154" s="646"/>
      <c r="F154" s="287"/>
      <c r="G154" s="759" t="s">
        <v>896</v>
      </c>
      <c r="H154" s="796"/>
      <c r="I154" s="759"/>
      <c r="J154" s="759" t="s">
        <v>890</v>
      </c>
      <c r="K154" s="759" t="s">
        <v>160</v>
      </c>
      <c r="L154" s="1369">
        <v>450000</v>
      </c>
      <c r="M154" s="1369"/>
      <c r="N154" s="1391">
        <f>L154*12</f>
        <v>5400000</v>
      </c>
      <c r="O154" s="1391"/>
      <c r="P154" s="1392"/>
    </row>
    <row r="155" spans="1:16" ht="24" customHeight="1">
      <c r="A155" s="25"/>
      <c r="B155" s="27"/>
      <c r="C155" s="27"/>
      <c r="D155" s="646"/>
      <c r="E155" s="646"/>
      <c r="F155" s="287"/>
      <c r="G155" s="781" t="s">
        <v>655</v>
      </c>
      <c r="H155" s="796"/>
      <c r="I155" s="759"/>
      <c r="J155" s="759"/>
      <c r="K155" s="759"/>
      <c r="L155" s="766"/>
      <c r="N155" s="1391">
        <f>SUM(N154)</f>
        <v>5400000</v>
      </c>
      <c r="O155" s="1391"/>
      <c r="P155" s="1392"/>
    </row>
    <row r="156" spans="1:16" ht="25.5" customHeight="1">
      <c r="A156" s="25"/>
      <c r="B156" s="27"/>
      <c r="C156" s="27"/>
      <c r="D156" s="646"/>
      <c r="E156" s="646"/>
      <c r="F156" s="287"/>
      <c r="G156" s="781" t="s">
        <v>148</v>
      </c>
      <c r="H156" s="759"/>
      <c r="I156" s="759"/>
      <c r="J156" s="759"/>
      <c r="K156" s="759"/>
      <c r="L156" s="759"/>
      <c r="M156" s="760"/>
      <c r="N156" s="1351" t="s">
        <v>120</v>
      </c>
      <c r="O156" s="1351"/>
      <c r="P156" s="1352"/>
    </row>
    <row r="157" spans="1:16" ht="30" customHeight="1">
      <c r="A157" s="25"/>
      <c r="B157" s="27"/>
      <c r="C157" s="27"/>
      <c r="D157" s="646"/>
      <c r="E157" s="646"/>
      <c r="F157" s="287"/>
      <c r="G157" s="759" t="s">
        <v>962</v>
      </c>
      <c r="H157" s="796"/>
      <c r="I157" s="759"/>
      <c r="J157" s="759" t="s">
        <v>191</v>
      </c>
      <c r="K157" s="759" t="s">
        <v>160</v>
      </c>
      <c r="L157" s="1369">
        <v>657083</v>
      </c>
      <c r="M157" s="1369"/>
      <c r="N157" s="1391">
        <v>7885000</v>
      </c>
      <c r="O157" s="1391"/>
      <c r="P157" s="1392"/>
    </row>
    <row r="158" spans="1:16" ht="30" customHeight="1">
      <c r="A158" s="25"/>
      <c r="B158" s="27"/>
      <c r="C158" s="27"/>
      <c r="D158" s="646"/>
      <c r="E158" s="646"/>
      <c r="F158" s="287"/>
      <c r="G158" s="759" t="s">
        <v>360</v>
      </c>
      <c r="H158" s="796"/>
      <c r="I158" s="759"/>
      <c r="J158" s="759"/>
      <c r="K158" s="759"/>
      <c r="L158" s="766"/>
      <c r="M158" s="766"/>
      <c r="N158" s="1052"/>
      <c r="O158" s="1052"/>
      <c r="P158" s="1053">
        <f>SUM(N157:P157)</f>
        <v>7885000</v>
      </c>
    </row>
    <row r="159" spans="1:16" ht="30" customHeight="1">
      <c r="A159" s="25"/>
      <c r="B159" s="27"/>
      <c r="C159" s="24"/>
      <c r="D159" s="645"/>
      <c r="E159" s="645"/>
      <c r="F159" s="286"/>
      <c r="G159" s="777" t="s">
        <v>199</v>
      </c>
      <c r="H159" s="800"/>
      <c r="I159" s="756"/>
      <c r="J159" s="756"/>
      <c r="K159" s="756"/>
      <c r="L159" s="779" t="s">
        <v>120</v>
      </c>
      <c r="M159" s="1409">
        <f>SUM(N155+P158)</f>
        <v>13285000</v>
      </c>
      <c r="N159" s="1409"/>
      <c r="O159" s="1409"/>
      <c r="P159" s="1410"/>
    </row>
    <row r="160" spans="1:16" ht="30" customHeight="1">
      <c r="A160" s="25"/>
      <c r="B160" s="27"/>
      <c r="C160" s="27">
        <v>4219</v>
      </c>
      <c r="D160" s="646"/>
      <c r="E160" s="646"/>
      <c r="F160" s="287"/>
      <c r="G160" s="776"/>
      <c r="H160" s="774"/>
      <c r="I160" s="774"/>
      <c r="J160" s="774"/>
      <c r="K160" s="774"/>
      <c r="L160" s="774"/>
      <c r="M160" s="774"/>
      <c r="N160" s="793"/>
      <c r="O160" s="793"/>
      <c r="P160" s="794"/>
    </row>
    <row r="161" spans="1:16" ht="30" customHeight="1">
      <c r="A161" s="25"/>
      <c r="B161" s="27"/>
      <c r="C161" s="27" t="s">
        <v>255</v>
      </c>
      <c r="D161" s="646">
        <v>372437</v>
      </c>
      <c r="E161" s="655">
        <v>474500</v>
      </c>
      <c r="F161" s="287">
        <f>D161-E161</f>
        <v>-102063</v>
      </c>
      <c r="G161" s="759" t="s">
        <v>651</v>
      </c>
      <c r="H161" s="759"/>
      <c r="I161" s="759"/>
      <c r="J161" s="759"/>
      <c r="K161" s="759"/>
      <c r="L161" s="759"/>
      <c r="M161" s="760"/>
      <c r="N161" s="761"/>
      <c r="O161" s="761"/>
      <c r="P161" s="762"/>
    </row>
    <row r="162" spans="1:16" ht="27" customHeight="1">
      <c r="A162" s="25"/>
      <c r="B162" s="27"/>
      <c r="C162" s="27"/>
      <c r="D162" s="646"/>
      <c r="E162" s="646"/>
      <c r="F162" s="287"/>
      <c r="G162" s="773" t="s">
        <v>1166</v>
      </c>
      <c r="H162" s="773"/>
      <c r="I162" s="773"/>
      <c r="J162" s="773"/>
      <c r="K162" s="773"/>
      <c r="L162" s="773"/>
      <c r="M162" s="773"/>
      <c r="N162" s="1353">
        <v>120000000</v>
      </c>
      <c r="O162" s="1353"/>
      <c r="P162" s="1354"/>
    </row>
    <row r="163" spans="1:16" ht="25.5" customHeight="1">
      <c r="A163" s="25"/>
      <c r="B163" s="27"/>
      <c r="C163" s="27"/>
      <c r="D163" s="646"/>
      <c r="E163" s="646"/>
      <c r="F163" s="287"/>
      <c r="G163" s="781" t="s">
        <v>655</v>
      </c>
      <c r="H163" s="773"/>
      <c r="I163" s="773"/>
      <c r="J163" s="773"/>
      <c r="K163" s="773"/>
      <c r="L163" s="773"/>
      <c r="M163" s="773"/>
      <c r="N163" s="1353">
        <f>SUM(N162:P162)</f>
        <v>120000000</v>
      </c>
      <c r="O163" s="1353"/>
      <c r="P163" s="1354"/>
    </row>
    <row r="164" spans="1:16" ht="30" customHeight="1">
      <c r="A164" s="25"/>
      <c r="B164" s="27"/>
      <c r="C164" s="27"/>
      <c r="D164" s="646"/>
      <c r="E164" s="646"/>
      <c r="F164" s="287"/>
      <c r="G164" s="781" t="s">
        <v>350</v>
      </c>
      <c r="H164" s="796"/>
      <c r="I164" s="796"/>
      <c r="J164" s="759"/>
      <c r="K164" s="759"/>
      <c r="L164" s="759"/>
      <c r="M164" s="760"/>
      <c r="N164" s="1351" t="s">
        <v>351</v>
      </c>
      <c r="O164" s="1351"/>
      <c r="P164" s="1352"/>
    </row>
    <row r="165" spans="1:16" ht="30" customHeight="1">
      <c r="A165" s="25"/>
      <c r="B165" s="27"/>
      <c r="C165" s="27"/>
      <c r="D165" s="646"/>
      <c r="E165" s="646"/>
      <c r="F165" s="287"/>
      <c r="G165" s="1364" t="s">
        <v>363</v>
      </c>
      <c r="H165" s="1365"/>
      <c r="I165" s="1365"/>
      <c r="J165" s="1365"/>
      <c r="K165" s="1365"/>
      <c r="L165" s="1365"/>
      <c r="M165" s="766"/>
      <c r="N165" s="1353">
        <v>10000000</v>
      </c>
      <c r="O165" s="1353"/>
      <c r="P165" s="1354"/>
    </row>
    <row r="166" spans="1:16" ht="30" customHeight="1">
      <c r="A166" s="25"/>
      <c r="B166" s="27"/>
      <c r="C166" s="27"/>
      <c r="D166" s="646"/>
      <c r="E166" s="646"/>
      <c r="F166" s="287"/>
      <c r="G166" s="1045" t="s">
        <v>364</v>
      </c>
      <c r="H166" s="796"/>
      <c r="I166" s="796"/>
      <c r="J166" s="796"/>
      <c r="K166" s="796"/>
      <c r="L166" s="796"/>
      <c r="M166" s="766"/>
      <c r="N166" s="1353">
        <v>40000000</v>
      </c>
      <c r="O166" s="1353"/>
      <c r="P166" s="1354"/>
    </row>
    <row r="167" spans="1:16" ht="30" customHeight="1">
      <c r="A167" s="25"/>
      <c r="B167" s="27"/>
      <c r="C167" s="27"/>
      <c r="D167" s="646"/>
      <c r="E167" s="646"/>
      <c r="F167" s="287"/>
      <c r="G167" s="1364" t="s">
        <v>365</v>
      </c>
      <c r="H167" s="1365"/>
      <c r="I167" s="1365"/>
      <c r="J167" s="1365"/>
      <c r="K167" s="1365"/>
      <c r="L167" s="1365"/>
      <c r="M167" s="766"/>
      <c r="N167" s="1353">
        <v>1560000</v>
      </c>
      <c r="O167" s="1353"/>
      <c r="P167" s="1354"/>
    </row>
    <row r="168" spans="1:16" ht="30" customHeight="1">
      <c r="A168" s="25"/>
      <c r="B168" s="27"/>
      <c r="C168" s="27"/>
      <c r="D168" s="646"/>
      <c r="E168" s="646"/>
      <c r="F168" s="287"/>
      <c r="G168" s="1364" t="s">
        <v>1042</v>
      </c>
      <c r="H168" s="1365"/>
      <c r="I168" s="1365"/>
      <c r="J168" s="1365"/>
      <c r="K168" s="1365"/>
      <c r="L168" s="1365"/>
      <c r="M168" s="766"/>
      <c r="N168" s="1353">
        <f>79000*12</f>
        <v>948000</v>
      </c>
      <c r="O168" s="1353"/>
      <c r="P168" s="1354"/>
    </row>
    <row r="169" spans="1:16" ht="30" customHeight="1">
      <c r="A169" s="25"/>
      <c r="B169" s="27"/>
      <c r="C169" s="27"/>
      <c r="D169" s="646"/>
      <c r="E169" s="646"/>
      <c r="F169" s="287"/>
      <c r="G169" s="1364" t="s">
        <v>366</v>
      </c>
      <c r="H169" s="1365"/>
      <c r="I169" s="1365"/>
      <c r="J169" s="1365"/>
      <c r="K169" s="1365"/>
      <c r="L169" s="1365"/>
      <c r="M169" s="766"/>
      <c r="N169" s="1353">
        <v>1200000</v>
      </c>
      <c r="O169" s="1353"/>
      <c r="P169" s="1354"/>
    </row>
    <row r="170" spans="1:16" ht="30" customHeight="1">
      <c r="A170" s="25"/>
      <c r="B170" s="27"/>
      <c r="C170" s="27"/>
      <c r="D170" s="646"/>
      <c r="E170" s="646"/>
      <c r="F170" s="287"/>
      <c r="G170" s="1364" t="s">
        <v>377</v>
      </c>
      <c r="H170" s="1365"/>
      <c r="I170" s="1365"/>
      <c r="J170" s="1365"/>
      <c r="K170" s="1365"/>
      <c r="L170" s="1365"/>
      <c r="M170" s="766"/>
      <c r="N170" s="761"/>
      <c r="O170" s="761"/>
      <c r="P170" s="762">
        <v>3360000</v>
      </c>
    </row>
    <row r="171" spans="1:16" ht="30" customHeight="1">
      <c r="A171" s="25"/>
      <c r="B171" s="27"/>
      <c r="C171" s="27"/>
      <c r="D171" s="646"/>
      <c r="E171" s="646"/>
      <c r="F171" s="287"/>
      <c r="G171" s="1366" t="s">
        <v>367</v>
      </c>
      <c r="H171" s="1370"/>
      <c r="I171" s="1370"/>
      <c r="J171" s="1370"/>
      <c r="K171" s="1370"/>
      <c r="L171" s="1370"/>
      <c r="M171" s="1370"/>
      <c r="N171" s="1353">
        <v>3100000</v>
      </c>
      <c r="O171" s="1353"/>
      <c r="P171" s="1354"/>
    </row>
    <row r="172" spans="1:16" ht="27" customHeight="1">
      <c r="A172" s="25"/>
      <c r="B172" s="27"/>
      <c r="C172" s="27"/>
      <c r="D172" s="646"/>
      <c r="E172" s="646"/>
      <c r="F172" s="287"/>
      <c r="G172" s="1366" t="s">
        <v>1160</v>
      </c>
      <c r="H172" s="1370"/>
      <c r="I172" s="1370"/>
      <c r="J172" s="1370"/>
      <c r="K172" s="1370"/>
      <c r="L172" s="1370"/>
      <c r="M172" s="1370"/>
      <c r="N172" s="1353">
        <v>6000000</v>
      </c>
      <c r="O172" s="1353"/>
      <c r="P172" s="1354"/>
    </row>
    <row r="173" spans="1:16" ht="27" customHeight="1">
      <c r="A173" s="25"/>
      <c r="B173" s="27"/>
      <c r="C173" s="27"/>
      <c r="D173" s="646"/>
      <c r="E173" s="646"/>
      <c r="F173" s="287"/>
      <c r="G173" s="1364" t="s">
        <v>1159</v>
      </c>
      <c r="H173" s="1365"/>
      <c r="I173" s="1365"/>
      <c r="J173" s="1365"/>
      <c r="K173" s="1365"/>
      <c r="L173" s="1365"/>
      <c r="M173" s="766"/>
      <c r="N173" s="1353">
        <v>450000</v>
      </c>
      <c r="O173" s="1353"/>
      <c r="P173" s="1354"/>
    </row>
    <row r="174" spans="1:16" ht="27" customHeight="1">
      <c r="A174" s="25"/>
      <c r="B174" s="27"/>
      <c r="C174" s="27"/>
      <c r="D174" s="646"/>
      <c r="E174" s="646"/>
      <c r="F174" s="287"/>
      <c r="G174" s="1047" t="s">
        <v>368</v>
      </c>
      <c r="H174" s="1046"/>
      <c r="I174" s="1046"/>
      <c r="J174" s="1046"/>
      <c r="K174" s="1046"/>
      <c r="L174" s="1046"/>
      <c r="M174" s="766"/>
      <c r="N174" s="1353">
        <v>25000000</v>
      </c>
      <c r="O174" s="1353"/>
      <c r="P174" s="1354"/>
    </row>
    <row r="175" spans="1:16" ht="27" customHeight="1">
      <c r="A175" s="25"/>
      <c r="B175" s="27"/>
      <c r="C175" s="27"/>
      <c r="D175" s="646"/>
      <c r="E175" s="646"/>
      <c r="F175" s="287"/>
      <c r="G175" s="1047" t="s">
        <v>369</v>
      </c>
      <c r="H175" s="1046"/>
      <c r="I175" s="1046"/>
      <c r="J175" s="1046"/>
      <c r="K175" s="1046"/>
      <c r="L175" s="1046"/>
      <c r="M175" s="766"/>
      <c r="N175" s="1353">
        <v>5000000</v>
      </c>
      <c r="O175" s="1353"/>
      <c r="P175" s="1354"/>
    </row>
    <row r="176" spans="1:16" ht="27" customHeight="1">
      <c r="A176" s="25"/>
      <c r="B176" s="27"/>
      <c r="C176" s="27"/>
      <c r="D176" s="646"/>
      <c r="E176" s="646"/>
      <c r="F176" s="287"/>
      <c r="G176" s="1047" t="s">
        <v>370</v>
      </c>
      <c r="H176" s="1046"/>
      <c r="I176" s="1046"/>
      <c r="J176" s="1046"/>
      <c r="K176" s="1046"/>
      <c r="L176" s="1046"/>
      <c r="M176" s="766"/>
      <c r="N176" s="1353">
        <v>5400000</v>
      </c>
      <c r="O176" s="1353"/>
      <c r="P176" s="1354"/>
    </row>
    <row r="177" spans="1:16" ht="27" customHeight="1">
      <c r="A177" s="25"/>
      <c r="B177" s="27"/>
      <c r="C177" s="27"/>
      <c r="D177" s="646"/>
      <c r="E177" s="646"/>
      <c r="F177" s="287"/>
      <c r="G177" s="1047" t="s">
        <v>371</v>
      </c>
      <c r="H177" s="1046"/>
      <c r="I177" s="1046"/>
      <c r="J177" s="1046"/>
      <c r="K177" s="1046"/>
      <c r="L177" s="1046"/>
      <c r="M177" s="766"/>
      <c r="N177" s="1353">
        <v>7800000</v>
      </c>
      <c r="O177" s="1353"/>
      <c r="P177" s="1354"/>
    </row>
    <row r="178" spans="1:16" ht="27" customHeight="1">
      <c r="A178" s="25"/>
      <c r="B178" s="27"/>
      <c r="C178" s="27"/>
      <c r="D178" s="646"/>
      <c r="E178" s="646"/>
      <c r="F178" s="287"/>
      <c r="G178" s="1047" t="s">
        <v>372</v>
      </c>
      <c r="H178" s="1046"/>
      <c r="I178" s="1046"/>
      <c r="J178" s="1046"/>
      <c r="K178" s="1046"/>
      <c r="L178" s="1046"/>
      <c r="M178" s="766"/>
      <c r="N178" s="1353">
        <v>3000000</v>
      </c>
      <c r="O178" s="1353"/>
      <c r="P178" s="1354"/>
    </row>
    <row r="179" spans="1:16" ht="27" customHeight="1">
      <c r="A179" s="25"/>
      <c r="B179" s="27"/>
      <c r="C179" s="27"/>
      <c r="D179" s="646"/>
      <c r="E179" s="646"/>
      <c r="F179" s="287"/>
      <c r="G179" s="1047" t="s">
        <v>373</v>
      </c>
      <c r="H179" s="1046"/>
      <c r="I179" s="1046"/>
      <c r="J179" s="1046"/>
      <c r="K179" s="1046"/>
      <c r="L179" s="1046"/>
      <c r="M179" s="766"/>
      <c r="N179" s="1353">
        <v>1500000</v>
      </c>
      <c r="O179" s="1353"/>
      <c r="P179" s="1354"/>
    </row>
    <row r="180" spans="1:16" ht="27" customHeight="1">
      <c r="A180" s="25"/>
      <c r="B180" s="27"/>
      <c r="C180" s="27"/>
      <c r="D180" s="646"/>
      <c r="E180" s="646"/>
      <c r="F180" s="287"/>
      <c r="G180" s="1047" t="s">
        <v>1276</v>
      </c>
      <c r="H180" s="1046"/>
      <c r="I180" s="1046"/>
      <c r="J180" s="1046"/>
      <c r="K180" s="1046"/>
      <c r="L180" s="1046"/>
      <c r="M180" s="766"/>
      <c r="N180" s="1353">
        <v>138119000</v>
      </c>
      <c r="O180" s="1353"/>
      <c r="P180" s="1354"/>
    </row>
    <row r="181" spans="1:16" ht="27" customHeight="1">
      <c r="A181" s="25"/>
      <c r="B181" s="27"/>
      <c r="C181" s="27"/>
      <c r="D181" s="646"/>
      <c r="E181" s="646"/>
      <c r="F181" s="287"/>
      <c r="G181" s="1047" t="s">
        <v>375</v>
      </c>
      <c r="H181" s="1046"/>
      <c r="I181" s="1046"/>
      <c r="J181" s="1046"/>
      <c r="K181" s="1046"/>
      <c r="L181" s="1046"/>
      <c r="M181" s="766"/>
      <c r="N181" s="761"/>
      <c r="O181" s="761"/>
      <c r="P181" s="762">
        <f>SUM(N165:P180)</f>
        <v>252437000</v>
      </c>
    </row>
    <row r="182" spans="1:16" s="91" customFormat="1" ht="30" customHeight="1">
      <c r="A182" s="202"/>
      <c r="B182" s="201"/>
      <c r="C182" s="201"/>
      <c r="D182" s="645"/>
      <c r="E182" s="645"/>
      <c r="F182" s="286"/>
      <c r="G182" s="777" t="s">
        <v>358</v>
      </c>
      <c r="H182" s="800"/>
      <c r="I182" s="800"/>
      <c r="J182" s="756"/>
      <c r="K182" s="756"/>
      <c r="L182" s="756"/>
      <c r="M182" s="768" t="s">
        <v>351</v>
      </c>
      <c r="N182" s="1378">
        <f>SUM(N163+P181)</f>
        <v>372437000</v>
      </c>
      <c r="O182" s="1378"/>
      <c r="P182" s="1379"/>
    </row>
    <row r="183" spans="1:16" ht="30" customHeight="1">
      <c r="A183" s="25"/>
      <c r="B183" s="32">
        <v>4220</v>
      </c>
      <c r="C183" s="27"/>
      <c r="D183" s="646"/>
      <c r="E183" s="646"/>
      <c r="F183" s="287"/>
      <c r="G183" s="759"/>
      <c r="H183" s="759"/>
      <c r="I183" s="759"/>
      <c r="J183" s="759"/>
      <c r="K183" s="759"/>
      <c r="L183" s="759"/>
      <c r="M183" s="760"/>
      <c r="N183" s="761"/>
      <c r="O183" s="761"/>
      <c r="P183" s="762"/>
    </row>
    <row r="184" spans="1:16" ht="30" customHeight="1">
      <c r="A184" s="25"/>
      <c r="B184" s="32" t="s">
        <v>256</v>
      </c>
      <c r="C184" s="24"/>
      <c r="D184" s="645">
        <f>D186+D198+D202+D216+D230+D239+D250+D263+D277</f>
        <v>1434365</v>
      </c>
      <c r="E184" s="645">
        <f>E186+E198+E202+E216+E230+E239+E250+E263+E277</f>
        <v>1581050</v>
      </c>
      <c r="F184" s="286">
        <f>D184-E184</f>
        <v>-146685</v>
      </c>
      <c r="G184" s="756"/>
      <c r="H184" s="756"/>
      <c r="I184" s="756"/>
      <c r="J184" s="756"/>
      <c r="K184" s="756"/>
      <c r="L184" s="756"/>
      <c r="M184" s="768"/>
      <c r="N184" s="757"/>
      <c r="O184" s="757"/>
      <c r="P184" s="758"/>
    </row>
    <row r="185" spans="1:16" ht="30" customHeight="1">
      <c r="A185" s="25"/>
      <c r="B185" s="32"/>
      <c r="C185" s="27">
        <v>4221</v>
      </c>
      <c r="D185" s="646"/>
      <c r="E185" s="646"/>
      <c r="F185" s="287"/>
      <c r="G185" s="773"/>
      <c r="H185" s="774"/>
      <c r="I185" s="774"/>
      <c r="J185" s="774"/>
      <c r="K185" s="774"/>
      <c r="L185" s="774"/>
      <c r="M185" s="774"/>
      <c r="N185" s="793"/>
      <c r="O185" s="793"/>
      <c r="P185" s="794"/>
    </row>
    <row r="186" spans="1:16" ht="30" customHeight="1">
      <c r="A186" s="25"/>
      <c r="B186" s="27"/>
      <c r="C186" s="32" t="s">
        <v>257</v>
      </c>
      <c r="D186" s="646">
        <v>22230</v>
      </c>
      <c r="E186" s="646">
        <v>70000</v>
      </c>
      <c r="F186" s="287">
        <f>D186-E186</f>
        <v>-47770</v>
      </c>
      <c r="G186" s="759"/>
      <c r="H186" s="759"/>
      <c r="I186" s="759"/>
      <c r="J186" s="759"/>
      <c r="K186" s="759"/>
      <c r="L186" s="759"/>
      <c r="M186" s="760"/>
      <c r="N186" s="1351" t="s">
        <v>652</v>
      </c>
      <c r="O186" s="1351"/>
      <c r="P186" s="1352"/>
    </row>
    <row r="187" spans="1:16" ht="30" customHeight="1">
      <c r="A187" s="25"/>
      <c r="B187" s="27"/>
      <c r="C187" s="32"/>
      <c r="D187" s="646"/>
      <c r="E187" s="646"/>
      <c r="F187" s="287"/>
      <c r="G187" s="759" t="s">
        <v>885</v>
      </c>
      <c r="H187" s="759"/>
      <c r="I187" s="759"/>
      <c r="J187" s="759"/>
      <c r="K187" s="759"/>
      <c r="L187" s="759"/>
      <c r="M187" s="760"/>
      <c r="N187" s="1351" t="s">
        <v>887</v>
      </c>
      <c r="O187" s="1351"/>
      <c r="P187" s="1352"/>
    </row>
    <row r="188" spans="1:16" ht="30" customHeight="1">
      <c r="A188" s="25"/>
      <c r="B188" s="27"/>
      <c r="C188" s="32"/>
      <c r="D188" s="646"/>
      <c r="E188" s="646"/>
      <c r="F188" s="287"/>
      <c r="G188" s="773" t="s">
        <v>898</v>
      </c>
      <c r="H188" s="773"/>
      <c r="I188" s="773"/>
      <c r="J188" s="773"/>
      <c r="K188" s="773"/>
      <c r="L188" s="773"/>
      <c r="M188" s="773"/>
      <c r="N188" s="1353">
        <v>5000000</v>
      </c>
      <c r="O188" s="1353"/>
      <c r="P188" s="1354"/>
    </row>
    <row r="189" spans="1:16" ht="30" customHeight="1">
      <c r="A189" s="25"/>
      <c r="B189" s="27"/>
      <c r="C189" s="32"/>
      <c r="D189" s="646"/>
      <c r="E189" s="646"/>
      <c r="F189" s="287"/>
      <c r="G189" s="781" t="s">
        <v>899</v>
      </c>
      <c r="H189" s="759"/>
      <c r="I189" s="759"/>
      <c r="J189" s="759"/>
      <c r="K189" s="759"/>
      <c r="L189" s="759"/>
      <c r="M189" s="760"/>
      <c r="N189" s="1353">
        <v>5000000</v>
      </c>
      <c r="O189" s="1353"/>
      <c r="P189" s="1354"/>
    </row>
    <row r="190" spans="1:16" ht="30" customHeight="1">
      <c r="A190" s="25"/>
      <c r="B190" s="27"/>
      <c r="C190" s="32"/>
      <c r="D190" s="646"/>
      <c r="E190" s="646"/>
      <c r="F190" s="287"/>
      <c r="G190" s="781" t="s">
        <v>900</v>
      </c>
      <c r="H190" s="759"/>
      <c r="I190" s="759"/>
      <c r="J190" s="759"/>
      <c r="K190" s="759"/>
      <c r="L190" s="759"/>
      <c r="M190" s="760"/>
      <c r="N190" s="1353">
        <v>1000000</v>
      </c>
      <c r="O190" s="1353"/>
      <c r="P190" s="1354"/>
    </row>
    <row r="191" spans="1:16" ht="30" customHeight="1">
      <c r="A191" s="25"/>
      <c r="B191" s="27"/>
      <c r="C191" s="32"/>
      <c r="D191" s="646"/>
      <c r="E191" s="646"/>
      <c r="F191" s="287"/>
      <c r="G191" s="782" t="s">
        <v>888</v>
      </c>
      <c r="H191" s="759"/>
      <c r="I191" s="759"/>
      <c r="J191" s="759"/>
      <c r="K191" s="759"/>
      <c r="L191" s="759"/>
      <c r="M191" s="760"/>
      <c r="N191" s="1353">
        <f>SUM(N188:P190)</f>
        <v>11000000</v>
      </c>
      <c r="O191" s="1353"/>
      <c r="P191" s="1354"/>
    </row>
    <row r="192" spans="1:16" ht="30" customHeight="1">
      <c r="A192" s="25"/>
      <c r="B192" s="27"/>
      <c r="C192" s="32"/>
      <c r="D192" s="646"/>
      <c r="E192" s="646"/>
      <c r="F192" s="287"/>
      <c r="G192" s="781" t="s">
        <v>148</v>
      </c>
      <c r="H192" s="759"/>
      <c r="I192" s="759"/>
      <c r="J192" s="759"/>
      <c r="K192" s="759"/>
      <c r="L192" s="759"/>
      <c r="M192" s="760"/>
      <c r="N192" s="1351" t="s">
        <v>120</v>
      </c>
      <c r="O192" s="1351"/>
      <c r="P192" s="1352"/>
    </row>
    <row r="193" spans="1:16" ht="30" customHeight="1">
      <c r="A193" s="25"/>
      <c r="B193" s="27"/>
      <c r="C193" s="32"/>
      <c r="D193" s="646"/>
      <c r="E193" s="646"/>
      <c r="F193" s="287"/>
      <c r="G193" s="759" t="s">
        <v>67</v>
      </c>
      <c r="H193" s="773"/>
      <c r="I193" s="759"/>
      <c r="J193" s="759"/>
      <c r="K193" s="759"/>
      <c r="L193" s="759"/>
      <c r="M193" s="760" t="s">
        <v>120</v>
      </c>
      <c r="N193" s="1351">
        <v>5230000</v>
      </c>
      <c r="O193" s="1351"/>
      <c r="P193" s="1352"/>
    </row>
    <row r="194" spans="1:16" ht="30" customHeight="1">
      <c r="A194" s="25"/>
      <c r="B194" s="27"/>
      <c r="C194" s="27"/>
      <c r="D194" s="646"/>
      <c r="E194" s="646"/>
      <c r="F194" s="287"/>
      <c r="G194" s="759" t="s">
        <v>86</v>
      </c>
      <c r="H194" s="773"/>
      <c r="I194" s="759"/>
      <c r="J194" s="759"/>
      <c r="K194" s="759"/>
      <c r="L194" s="759"/>
      <c r="M194" s="760" t="s">
        <v>120</v>
      </c>
      <c r="N194" s="1351">
        <v>6000000</v>
      </c>
      <c r="O194" s="1351"/>
      <c r="P194" s="1352"/>
    </row>
    <row r="195" spans="1:16" ht="30" customHeight="1">
      <c r="A195" s="25"/>
      <c r="B195" s="35"/>
      <c r="C195" s="27"/>
      <c r="D195" s="646"/>
      <c r="E195" s="646"/>
      <c r="F195" s="287"/>
      <c r="G195" s="759" t="s">
        <v>376</v>
      </c>
      <c r="I195" s="759"/>
      <c r="J195" s="759"/>
      <c r="K195" s="759"/>
      <c r="L195" s="759"/>
      <c r="M195" s="760"/>
      <c r="N195" s="761"/>
      <c r="O195" s="761"/>
      <c r="P195" s="762">
        <f>SUM(N193:P194)</f>
        <v>11230000</v>
      </c>
    </row>
    <row r="196" spans="1:16" ht="30" customHeight="1">
      <c r="A196" s="25"/>
      <c r="B196" s="43"/>
      <c r="C196" s="27"/>
      <c r="D196" s="646"/>
      <c r="E196" s="646"/>
      <c r="F196" s="287"/>
      <c r="G196" s="781" t="s">
        <v>199</v>
      </c>
      <c r="H196" s="773"/>
      <c r="I196" s="773"/>
      <c r="J196" s="773"/>
      <c r="K196" s="773"/>
      <c r="L196" s="759"/>
      <c r="M196" s="760" t="s">
        <v>120</v>
      </c>
      <c r="N196" s="1351">
        <f>SUM(N191+P195)</f>
        <v>22230000</v>
      </c>
      <c r="O196" s="1351"/>
      <c r="P196" s="1352"/>
    </row>
    <row r="197" spans="1:16" ht="30" customHeight="1">
      <c r="A197" s="25"/>
      <c r="B197" s="27"/>
      <c r="C197" s="28">
        <v>4222</v>
      </c>
      <c r="D197" s="647"/>
      <c r="E197" s="647"/>
      <c r="F197" s="288"/>
      <c r="G197" s="763"/>
      <c r="H197" s="769"/>
      <c r="I197" s="769"/>
      <c r="J197" s="769"/>
      <c r="K197" s="769"/>
      <c r="L197" s="769"/>
      <c r="M197" s="769"/>
      <c r="N197" s="798"/>
      <c r="O197" s="798"/>
      <c r="P197" s="799"/>
    </row>
    <row r="198" spans="1:16" ht="30" customHeight="1">
      <c r="A198" s="25"/>
      <c r="B198" s="27"/>
      <c r="C198" s="27" t="s">
        <v>258</v>
      </c>
      <c r="D198" s="646">
        <v>1827</v>
      </c>
      <c r="E198" s="655">
        <v>5000</v>
      </c>
      <c r="F198" s="287">
        <f>D198-E198</f>
        <v>-3173</v>
      </c>
      <c r="G198" s="781" t="s">
        <v>1278</v>
      </c>
      <c r="H198" s="796"/>
      <c r="I198" s="796"/>
      <c r="J198" s="796"/>
      <c r="K198" s="759"/>
      <c r="L198" s="759"/>
      <c r="M198" s="759"/>
      <c r="N198" s="760" t="s">
        <v>3</v>
      </c>
      <c r="O198" s="760"/>
      <c r="P198" s="788">
        <v>600000</v>
      </c>
    </row>
    <row r="199" spans="1:16" ht="30" customHeight="1">
      <c r="A199" s="25"/>
      <c r="B199" s="27"/>
      <c r="C199" s="27"/>
      <c r="D199" s="646"/>
      <c r="E199" s="646"/>
      <c r="F199" s="287"/>
      <c r="G199" s="781" t="s">
        <v>1277</v>
      </c>
      <c r="H199" s="1046"/>
      <c r="I199" s="1046"/>
      <c r="J199" s="1046"/>
      <c r="K199" s="759" t="s">
        <v>3</v>
      </c>
      <c r="L199" s="759"/>
      <c r="M199" s="759"/>
      <c r="N199" s="761"/>
      <c r="O199" s="761"/>
      <c r="P199" s="762">
        <v>1227000</v>
      </c>
    </row>
    <row r="200" spans="1:16" ht="30" customHeight="1">
      <c r="A200" s="25"/>
      <c r="B200" s="27"/>
      <c r="C200" s="27"/>
      <c r="D200" s="646"/>
      <c r="E200" s="646"/>
      <c r="F200" s="287"/>
      <c r="G200" s="1046" t="s">
        <v>1167</v>
      </c>
      <c r="H200" s="1046"/>
      <c r="I200" s="1046"/>
      <c r="J200" s="1046"/>
      <c r="K200" s="759"/>
      <c r="L200" s="759"/>
      <c r="M200" s="759"/>
      <c r="N200" s="761"/>
      <c r="O200" s="761"/>
      <c r="P200" s="762">
        <f>P199</f>
        <v>1227000</v>
      </c>
    </row>
    <row r="201" spans="1:16" ht="22.5" customHeight="1">
      <c r="A201" s="25"/>
      <c r="B201" s="27"/>
      <c r="C201" s="28">
        <v>4223</v>
      </c>
      <c r="D201" s="647"/>
      <c r="E201" s="647"/>
      <c r="F201" s="288"/>
      <c r="G201" s="763"/>
      <c r="H201" s="769"/>
      <c r="I201" s="769"/>
      <c r="J201" s="769"/>
      <c r="K201" s="769"/>
      <c r="L201" s="769"/>
      <c r="M201" s="769"/>
      <c r="N201" s="798"/>
      <c r="O201" s="798"/>
      <c r="P201" s="799"/>
    </row>
    <row r="202" spans="1:16" ht="30" customHeight="1">
      <c r="A202" s="25"/>
      <c r="B202" s="27"/>
      <c r="C202" s="27" t="s">
        <v>259</v>
      </c>
      <c r="D202" s="646">
        <v>140305</v>
      </c>
      <c r="E202" s="655">
        <v>150000</v>
      </c>
      <c r="F202" s="287">
        <f>D202-E202</f>
        <v>-9695</v>
      </c>
      <c r="G202" s="759" t="s">
        <v>651</v>
      </c>
      <c r="H202" s="759"/>
      <c r="I202" s="759"/>
      <c r="J202" s="759"/>
      <c r="K202" s="759"/>
      <c r="L202" s="759"/>
      <c r="M202" s="759"/>
      <c r="N202" s="1351" t="s">
        <v>652</v>
      </c>
      <c r="O202" s="1351"/>
      <c r="P202" s="1352"/>
    </row>
    <row r="203" spans="1:16" ht="30" customHeight="1">
      <c r="A203" s="25"/>
      <c r="B203" s="27"/>
      <c r="C203" s="27"/>
      <c r="D203" s="646"/>
      <c r="E203" s="646"/>
      <c r="F203" s="287"/>
      <c r="G203" s="773" t="s">
        <v>901</v>
      </c>
      <c r="H203" s="773"/>
      <c r="I203" s="773"/>
      <c r="J203" s="773"/>
      <c r="K203" s="773"/>
      <c r="L203" s="773"/>
      <c r="M203" s="773"/>
      <c r="N203" s="1351">
        <v>15000000</v>
      </c>
      <c r="O203" s="1351"/>
      <c r="P203" s="1352"/>
    </row>
    <row r="204" spans="1:16" ht="30" customHeight="1">
      <c r="A204" s="25"/>
      <c r="B204" s="27"/>
      <c r="C204" s="27"/>
      <c r="D204" s="646"/>
      <c r="E204" s="646"/>
      <c r="F204" s="287"/>
      <c r="G204" s="781" t="s">
        <v>902</v>
      </c>
      <c r="H204" s="1046"/>
      <c r="I204" s="1046"/>
      <c r="J204" s="1046"/>
      <c r="K204" s="766"/>
      <c r="L204" s="766"/>
      <c r="M204" s="766"/>
      <c r="N204" s="1353">
        <v>2000000</v>
      </c>
      <c r="O204" s="1353"/>
      <c r="P204" s="1354"/>
    </row>
    <row r="205" spans="1:16" ht="30" customHeight="1">
      <c r="A205" s="25"/>
      <c r="B205" s="27"/>
      <c r="C205" s="27"/>
      <c r="D205" s="646"/>
      <c r="E205" s="646"/>
      <c r="F205" s="287"/>
      <c r="G205" s="781" t="s">
        <v>903</v>
      </c>
      <c r="H205" s="1046"/>
      <c r="I205" s="1046"/>
      <c r="J205" s="1046"/>
      <c r="K205" s="766"/>
      <c r="L205" s="766"/>
      <c r="M205" s="766"/>
      <c r="N205" s="1353">
        <v>2000000</v>
      </c>
      <c r="O205" s="1353"/>
      <c r="P205" s="1354"/>
    </row>
    <row r="206" spans="1:16" ht="30" customHeight="1">
      <c r="A206" s="25"/>
      <c r="B206" s="27"/>
      <c r="C206" s="27"/>
      <c r="D206" s="646"/>
      <c r="E206" s="646"/>
      <c r="F206" s="287"/>
      <c r="G206" s="781" t="s">
        <v>653</v>
      </c>
      <c r="H206" s="1046"/>
      <c r="I206" s="1046"/>
      <c r="J206" s="1046"/>
      <c r="K206" s="766"/>
      <c r="L206" s="766"/>
      <c r="M206" s="766"/>
      <c r="N206" s="1353">
        <f>SUM(N203:P205)</f>
        <v>19000000</v>
      </c>
      <c r="O206" s="1353"/>
      <c r="P206" s="1354"/>
    </row>
    <row r="207" spans="1:16" ht="30" customHeight="1">
      <c r="A207" s="25"/>
      <c r="B207" s="27"/>
      <c r="C207" s="27"/>
      <c r="D207" s="646"/>
      <c r="E207" s="646"/>
      <c r="F207" s="287"/>
      <c r="G207" s="781" t="s">
        <v>350</v>
      </c>
      <c r="H207" s="1046"/>
      <c r="I207" s="1046"/>
      <c r="J207" s="1046"/>
      <c r="K207" s="766"/>
      <c r="L207" s="766"/>
      <c r="M207" s="766"/>
      <c r="N207" s="1351" t="s">
        <v>351</v>
      </c>
      <c r="O207" s="1351"/>
      <c r="P207" s="1352"/>
    </row>
    <row r="208" spans="1:16" ht="30" customHeight="1">
      <c r="A208" s="25"/>
      <c r="B208" s="27"/>
      <c r="C208" s="27"/>
      <c r="D208" s="646"/>
      <c r="E208" s="646"/>
      <c r="F208" s="287"/>
      <c r="G208" s="1364" t="s">
        <v>378</v>
      </c>
      <c r="H208" s="1365"/>
      <c r="I208" s="1365"/>
      <c r="J208" s="1365"/>
      <c r="K208" s="1369" t="s">
        <v>351</v>
      </c>
      <c r="L208" s="1369"/>
      <c r="M208" s="1369"/>
      <c r="N208" s="1353">
        <v>65000000</v>
      </c>
      <c r="O208" s="1353"/>
      <c r="P208" s="1354"/>
    </row>
    <row r="209" spans="1:16" ht="30" customHeight="1">
      <c r="A209" s="25"/>
      <c r="B209" s="27"/>
      <c r="C209" s="27"/>
      <c r="D209" s="646"/>
      <c r="E209" s="646"/>
      <c r="F209" s="287"/>
      <c r="G209" s="1047" t="s">
        <v>1158</v>
      </c>
      <c r="H209" s="1046"/>
      <c r="I209" s="1046"/>
      <c r="J209" s="1046"/>
      <c r="K209" s="766"/>
      <c r="L209" s="766"/>
      <c r="M209" s="766"/>
      <c r="N209" s="761"/>
      <c r="O209" s="761"/>
      <c r="P209" s="762">
        <v>25000000</v>
      </c>
    </row>
    <row r="210" spans="1:16" ht="30" customHeight="1">
      <c r="A210" s="25"/>
      <c r="B210" s="27"/>
      <c r="C210" s="27"/>
      <c r="D210" s="646"/>
      <c r="E210" s="646"/>
      <c r="F210" s="287"/>
      <c r="G210" s="1364" t="s">
        <v>1043</v>
      </c>
      <c r="H210" s="1365"/>
      <c r="I210" s="1365"/>
      <c r="J210" s="1365"/>
      <c r="K210" s="1365"/>
      <c r="L210" s="759"/>
      <c r="M210" s="759"/>
      <c r="N210" s="1353">
        <v>6305000</v>
      </c>
      <c r="O210" s="1353"/>
      <c r="P210" s="1354"/>
    </row>
    <row r="211" spans="1:16" ht="30" customHeight="1">
      <c r="A211" s="25"/>
      <c r="B211" s="27"/>
      <c r="C211" s="27"/>
      <c r="D211" s="646"/>
      <c r="E211" s="646"/>
      <c r="F211" s="287"/>
      <c r="G211" s="1364" t="s">
        <v>1279</v>
      </c>
      <c r="H211" s="1365"/>
      <c r="I211" s="1365"/>
      <c r="J211" s="1365"/>
      <c r="K211" s="1365"/>
      <c r="L211" s="759"/>
      <c r="M211" s="759"/>
      <c r="N211" s="1353">
        <v>5000000</v>
      </c>
      <c r="O211" s="1353"/>
      <c r="P211" s="1354"/>
    </row>
    <row r="212" spans="1:16" ht="30" customHeight="1">
      <c r="A212" s="25"/>
      <c r="B212" s="27"/>
      <c r="C212" s="27"/>
      <c r="D212" s="646"/>
      <c r="E212" s="646"/>
      <c r="F212" s="287"/>
      <c r="G212" s="1046" t="s">
        <v>1044</v>
      </c>
      <c r="H212" s="1046"/>
      <c r="I212" s="1046"/>
      <c r="J212" s="1046"/>
      <c r="K212" s="1046"/>
      <c r="L212" s="759"/>
      <c r="M212" s="759"/>
      <c r="N212" s="761"/>
      <c r="O212" s="761"/>
      <c r="P212" s="762">
        <v>20000000</v>
      </c>
    </row>
    <row r="213" spans="1:16" ht="30" customHeight="1">
      <c r="A213" s="25"/>
      <c r="B213" s="27"/>
      <c r="C213" s="27"/>
      <c r="D213" s="646"/>
      <c r="E213" s="646"/>
      <c r="F213" s="287"/>
      <c r="G213" s="759" t="s">
        <v>359</v>
      </c>
      <c r="H213" s="759"/>
      <c r="I213" s="759"/>
      <c r="J213" s="759"/>
      <c r="K213" s="759" t="s">
        <v>380</v>
      </c>
      <c r="L213" s="759"/>
      <c r="M213" s="761"/>
      <c r="N213" s="1353">
        <f>SUM(N208:P212)</f>
        <v>121305000</v>
      </c>
      <c r="O213" s="1353"/>
      <c r="P213" s="1354"/>
    </row>
    <row r="214" spans="1:16" ht="30" customHeight="1">
      <c r="A214" s="25"/>
      <c r="B214" s="27"/>
      <c r="C214" s="27"/>
      <c r="D214" s="646"/>
      <c r="E214" s="646"/>
      <c r="F214" s="287"/>
      <c r="G214" s="759" t="s">
        <v>249</v>
      </c>
      <c r="H214" s="759"/>
      <c r="I214" s="759"/>
      <c r="J214" s="759"/>
      <c r="K214" s="759" t="s">
        <v>159</v>
      </c>
      <c r="L214" s="756"/>
      <c r="M214" s="757"/>
      <c r="N214" s="1375">
        <f>+N206+N213</f>
        <v>140305000</v>
      </c>
      <c r="O214" s="1375"/>
      <c r="P214" s="1376"/>
    </row>
    <row r="215" spans="1:16" ht="30" customHeight="1">
      <c r="A215" s="25"/>
      <c r="B215" s="27"/>
      <c r="C215" s="28">
        <v>4224</v>
      </c>
      <c r="D215" s="647"/>
      <c r="E215" s="647"/>
      <c r="F215" s="288"/>
      <c r="G215" s="763"/>
      <c r="H215" s="769"/>
      <c r="I215" s="769"/>
      <c r="J215" s="769"/>
      <c r="K215" s="769"/>
      <c r="L215" s="769"/>
      <c r="M215" s="769"/>
      <c r="N215" s="798"/>
      <c r="O215" s="798"/>
      <c r="P215" s="799"/>
    </row>
    <row r="216" spans="1:16" ht="30" customHeight="1">
      <c r="A216" s="25"/>
      <c r="B216" s="27"/>
      <c r="C216" s="27" t="s">
        <v>260</v>
      </c>
      <c r="D216" s="646">
        <v>43617</v>
      </c>
      <c r="E216" s="655">
        <v>33000</v>
      </c>
      <c r="F216" s="287">
        <f>D216-E216</f>
        <v>10617</v>
      </c>
      <c r="G216" s="781" t="s">
        <v>885</v>
      </c>
      <c r="H216" s="759"/>
      <c r="I216" s="759"/>
      <c r="J216" s="759"/>
      <c r="K216" s="759"/>
      <c r="L216" s="759"/>
      <c r="M216" s="759"/>
      <c r="N216" s="1351" t="s">
        <v>887</v>
      </c>
      <c r="O216" s="1351"/>
      <c r="P216" s="1352"/>
    </row>
    <row r="217" spans="1:16" ht="30" customHeight="1">
      <c r="A217" s="25"/>
      <c r="B217" s="27"/>
      <c r="C217" s="27"/>
      <c r="D217" s="646"/>
      <c r="E217" s="646"/>
      <c r="F217" s="287"/>
      <c r="G217" s="773" t="s">
        <v>905</v>
      </c>
      <c r="H217" s="773"/>
      <c r="I217" s="773"/>
      <c r="J217" s="773"/>
      <c r="K217" s="773"/>
      <c r="L217" s="773"/>
      <c r="M217" s="773"/>
      <c r="N217" s="1353">
        <v>1100000</v>
      </c>
      <c r="O217" s="1353"/>
      <c r="P217" s="1354"/>
    </row>
    <row r="218" spans="1:16" ht="30" customHeight="1">
      <c r="A218" s="25"/>
      <c r="B218" s="27"/>
      <c r="C218" s="27"/>
      <c r="D218" s="646"/>
      <c r="E218" s="646"/>
      <c r="F218" s="287"/>
      <c r="G218" s="782" t="s">
        <v>888</v>
      </c>
      <c r="H218" s="1046"/>
      <c r="I218" s="1046"/>
      <c r="J218" s="1046"/>
      <c r="K218" s="766"/>
      <c r="L218" s="766"/>
      <c r="M218" s="766"/>
      <c r="N218" s="1353">
        <f>SUM(N217:P217)</f>
        <v>1100000</v>
      </c>
      <c r="O218" s="1367"/>
      <c r="P218" s="1393"/>
    </row>
    <row r="219" spans="1:16" ht="27" customHeight="1">
      <c r="A219" s="25"/>
      <c r="B219" s="27"/>
      <c r="C219" s="27"/>
      <c r="D219" s="646"/>
      <c r="E219" s="646"/>
      <c r="F219" s="287"/>
      <c r="G219" s="781" t="s">
        <v>350</v>
      </c>
      <c r="H219" s="1046"/>
      <c r="I219" s="1046"/>
      <c r="J219" s="1046"/>
      <c r="K219" s="766"/>
      <c r="L219" s="766"/>
      <c r="M219" s="766"/>
      <c r="N219" s="1351" t="s">
        <v>351</v>
      </c>
      <c r="O219" s="1367"/>
      <c r="P219" s="1393"/>
    </row>
    <row r="220" spans="1:16" ht="27" customHeight="1">
      <c r="A220" s="25"/>
      <c r="B220" s="27"/>
      <c r="C220" s="27"/>
      <c r="D220" s="646"/>
      <c r="E220" s="646"/>
      <c r="F220" s="287"/>
      <c r="G220" s="1364" t="s">
        <v>381</v>
      </c>
      <c r="H220" s="1367"/>
      <c r="I220" s="1367"/>
      <c r="J220" s="1367"/>
      <c r="K220" s="1369"/>
      <c r="L220" s="1369"/>
      <c r="M220" s="1369"/>
      <c r="N220" s="1353">
        <v>7000000</v>
      </c>
      <c r="O220" s="1367"/>
      <c r="P220" s="1393"/>
    </row>
    <row r="221" spans="1:16" ht="27" customHeight="1">
      <c r="A221" s="25"/>
      <c r="B221" s="27"/>
      <c r="C221" s="27"/>
      <c r="D221" s="646"/>
      <c r="E221" s="646"/>
      <c r="F221" s="287"/>
      <c r="G221" s="1047" t="s">
        <v>382</v>
      </c>
      <c r="H221" s="1046"/>
      <c r="I221" s="1046"/>
      <c r="J221" s="1046"/>
      <c r="K221" s="766"/>
      <c r="L221" s="766"/>
      <c r="M221" s="766"/>
      <c r="N221" s="1353">
        <v>8000000</v>
      </c>
      <c r="O221" s="1367"/>
      <c r="P221" s="1393"/>
    </row>
    <row r="222" spans="1:16" ht="27" customHeight="1">
      <c r="A222" s="25"/>
      <c r="B222" s="27"/>
      <c r="C222" s="27"/>
      <c r="D222" s="646"/>
      <c r="E222" s="646"/>
      <c r="F222" s="287"/>
      <c r="G222" s="1047" t="s">
        <v>630</v>
      </c>
      <c r="H222" s="1046"/>
      <c r="I222" s="1046"/>
      <c r="J222" s="1046"/>
      <c r="K222" s="766"/>
      <c r="L222" s="766"/>
      <c r="M222" s="766"/>
      <c r="N222" s="1353">
        <v>6000000</v>
      </c>
      <c r="O222" s="1394"/>
      <c r="P222" s="1393"/>
    </row>
    <row r="223" spans="1:16" ht="27" customHeight="1">
      <c r="A223" s="25"/>
      <c r="B223" s="27"/>
      <c r="C223" s="27"/>
      <c r="D223" s="646"/>
      <c r="E223" s="646"/>
      <c r="F223" s="287"/>
      <c r="G223" s="1047" t="s">
        <v>629</v>
      </c>
      <c r="H223" s="1055"/>
      <c r="I223" s="1055"/>
      <c r="J223" s="1055"/>
      <c r="K223" s="766"/>
      <c r="L223" s="766"/>
      <c r="M223" s="766"/>
      <c r="N223" s="761"/>
      <c r="O223" s="1055"/>
      <c r="P223" s="794">
        <v>1500000</v>
      </c>
    </row>
    <row r="224" spans="1:16" ht="27" customHeight="1">
      <c r="A224" s="25"/>
      <c r="B224" s="27"/>
      <c r="C224" s="27"/>
      <c r="D224" s="646"/>
      <c r="E224" s="646"/>
      <c r="F224" s="287"/>
      <c r="G224" s="1366" t="s">
        <v>1047</v>
      </c>
      <c r="H224" s="1367"/>
      <c r="I224" s="1367"/>
      <c r="J224" s="1367"/>
      <c r="K224" s="766"/>
      <c r="L224" s="766"/>
      <c r="M224" s="766"/>
      <c r="N224" s="1353">
        <v>4000000</v>
      </c>
      <c r="O224" s="1367"/>
      <c r="P224" s="1393"/>
    </row>
    <row r="225" spans="1:16" ht="27" customHeight="1">
      <c r="A225" s="25"/>
      <c r="B225" s="27"/>
      <c r="C225" s="27"/>
      <c r="D225" s="646"/>
      <c r="E225" s="646"/>
      <c r="F225" s="287"/>
      <c r="G225" s="1047" t="s">
        <v>1045</v>
      </c>
      <c r="H225" s="1054"/>
      <c r="I225" s="1054"/>
      <c r="J225" s="1054"/>
      <c r="K225" s="766"/>
      <c r="L225" s="766"/>
      <c r="M225" s="766"/>
      <c r="N225" s="1353">
        <v>1000000</v>
      </c>
      <c r="O225" s="1367"/>
      <c r="P225" s="1393"/>
    </row>
    <row r="226" spans="1:16" ht="27" customHeight="1">
      <c r="A226" s="25"/>
      <c r="B226" s="27"/>
      <c r="C226" s="27"/>
      <c r="D226" s="646"/>
      <c r="E226" s="646"/>
      <c r="F226" s="287"/>
      <c r="G226" s="1047" t="s">
        <v>1046</v>
      </c>
      <c r="H226" s="1054"/>
      <c r="I226" s="1054"/>
      <c r="J226" s="1054"/>
      <c r="K226" s="766"/>
      <c r="L226" s="766"/>
      <c r="M226" s="766"/>
      <c r="N226" s="1353">
        <v>15017000</v>
      </c>
      <c r="O226" s="1367"/>
      <c r="P226" s="1393"/>
    </row>
    <row r="227" spans="1:16" ht="27" customHeight="1">
      <c r="A227" s="25"/>
      <c r="B227" s="27"/>
      <c r="C227" s="27"/>
      <c r="D227" s="646"/>
      <c r="E227" s="646"/>
      <c r="F227" s="287"/>
      <c r="G227" s="781" t="s">
        <v>359</v>
      </c>
      <c r="H227" s="759"/>
      <c r="I227" s="759"/>
      <c r="J227" s="759"/>
      <c r="K227" s="759" t="s">
        <v>380</v>
      </c>
      <c r="L227" s="759"/>
      <c r="M227" s="761"/>
      <c r="N227" s="1353">
        <f>SUM(N220:P226)</f>
        <v>42517000</v>
      </c>
      <c r="O227" s="1367"/>
      <c r="P227" s="1393"/>
    </row>
    <row r="228" spans="1:16" ht="27" customHeight="1">
      <c r="A228" s="25"/>
      <c r="B228" s="27"/>
      <c r="C228" s="24"/>
      <c r="D228" s="645"/>
      <c r="E228" s="645"/>
      <c r="F228" s="286"/>
      <c r="G228" s="756" t="s">
        <v>249</v>
      </c>
      <c r="H228" s="756"/>
      <c r="I228" s="756"/>
      <c r="J228" s="756"/>
      <c r="K228" s="756" t="s">
        <v>159</v>
      </c>
      <c r="L228" s="756"/>
      <c r="M228" s="757"/>
      <c r="N228" s="1375">
        <f>SUM(N218+N227)</f>
        <v>43617000</v>
      </c>
      <c r="O228" s="1403"/>
      <c r="P228" s="1404"/>
    </row>
    <row r="229" spans="1:16" ht="22.5" customHeight="1">
      <c r="A229" s="25"/>
      <c r="B229" s="27"/>
      <c r="C229" s="27">
        <v>4225</v>
      </c>
      <c r="D229" s="646"/>
      <c r="E229" s="646"/>
      <c r="F229" s="287"/>
      <c r="G229" s="773"/>
      <c r="H229" s="774"/>
      <c r="I229" s="774"/>
      <c r="J229" s="774"/>
      <c r="K229" s="774"/>
      <c r="L229" s="774"/>
      <c r="M229" s="774"/>
      <c r="N229" s="793"/>
      <c r="O229" s="793"/>
      <c r="P229" s="794"/>
    </row>
    <row r="230" spans="1:16" ht="27.75" customHeight="1">
      <c r="A230" s="25"/>
      <c r="B230" s="27"/>
      <c r="C230" s="27" t="s">
        <v>261</v>
      </c>
      <c r="D230" s="646">
        <v>114442</v>
      </c>
      <c r="E230" s="655">
        <v>138000</v>
      </c>
      <c r="F230" s="287">
        <f>D230-E230</f>
        <v>-23558</v>
      </c>
      <c r="G230" s="759" t="s">
        <v>651</v>
      </c>
      <c r="H230" s="759"/>
      <c r="I230" s="759"/>
      <c r="J230" s="759"/>
      <c r="K230" s="759"/>
      <c r="L230" s="759"/>
      <c r="M230" s="759"/>
      <c r="N230" s="1351" t="s">
        <v>652</v>
      </c>
      <c r="O230" s="1351"/>
      <c r="P230" s="1352"/>
    </row>
    <row r="231" spans="1:16" ht="27.75" customHeight="1">
      <c r="A231" s="25"/>
      <c r="B231" s="27"/>
      <c r="C231" s="27"/>
      <c r="D231" s="646"/>
      <c r="E231" s="646"/>
      <c r="F231" s="287"/>
      <c r="G231" s="773" t="s">
        <v>907</v>
      </c>
      <c r="H231" s="773"/>
      <c r="I231" s="773"/>
      <c r="J231" s="773"/>
      <c r="K231" s="773"/>
      <c r="L231" s="773"/>
      <c r="M231" s="773"/>
      <c r="N231" s="1353">
        <v>40000000</v>
      </c>
      <c r="O231" s="1353"/>
      <c r="P231" s="1354"/>
    </row>
    <row r="232" spans="1:16" ht="27.75" customHeight="1">
      <c r="A232" s="25"/>
      <c r="B232" s="27"/>
      <c r="C232" s="27"/>
      <c r="D232" s="646"/>
      <c r="E232" s="646"/>
      <c r="F232" s="287"/>
      <c r="G232" s="781" t="s">
        <v>908</v>
      </c>
      <c r="H232" s="759"/>
      <c r="I232" s="759"/>
      <c r="J232" s="759"/>
      <c r="K232" s="766"/>
      <c r="L232" s="766"/>
      <c r="M232" s="766"/>
      <c r="N232" s="1353">
        <v>10000000</v>
      </c>
      <c r="O232" s="1353"/>
      <c r="P232" s="1354"/>
    </row>
    <row r="233" spans="1:16" ht="27.75" customHeight="1">
      <c r="A233" s="25"/>
      <c r="B233" s="27"/>
      <c r="C233" s="27"/>
      <c r="D233" s="646"/>
      <c r="E233" s="646"/>
      <c r="F233" s="287"/>
      <c r="G233" s="781" t="s">
        <v>656</v>
      </c>
      <c r="H233" s="759"/>
      <c r="I233" s="759"/>
      <c r="J233" s="759"/>
      <c r="K233" s="766"/>
      <c r="L233" s="766"/>
      <c r="M233" s="766"/>
      <c r="N233" s="1353">
        <f>SUM(N231:P232)</f>
        <v>50000000</v>
      </c>
      <c r="O233" s="1353"/>
      <c r="P233" s="1354"/>
    </row>
    <row r="234" spans="1:16" ht="27.75" customHeight="1">
      <c r="A234" s="25"/>
      <c r="B234" s="27"/>
      <c r="C234" s="27"/>
      <c r="D234" s="646"/>
      <c r="E234" s="646"/>
      <c r="F234" s="287"/>
      <c r="G234" s="781" t="s">
        <v>350</v>
      </c>
      <c r="H234" s="759"/>
      <c r="I234" s="759"/>
      <c r="J234" s="759"/>
      <c r="K234" s="766"/>
      <c r="L234" s="766"/>
      <c r="M234" s="766"/>
      <c r="N234" s="1351" t="s">
        <v>351</v>
      </c>
      <c r="O234" s="1351"/>
      <c r="P234" s="1352"/>
    </row>
    <row r="235" spans="1:16" ht="27.75" customHeight="1">
      <c r="A235" s="25"/>
      <c r="B235" s="27"/>
      <c r="C235" s="27"/>
      <c r="D235" s="646"/>
      <c r="E235" s="646"/>
      <c r="F235" s="287"/>
      <c r="G235" s="1368" t="s">
        <v>385</v>
      </c>
      <c r="H235" s="1369"/>
      <c r="I235" s="1369"/>
      <c r="J235" s="759"/>
      <c r="K235" s="1369" t="s">
        <v>351</v>
      </c>
      <c r="L235" s="1369"/>
      <c r="M235" s="1369"/>
      <c r="N235" s="1353">
        <v>64442000</v>
      </c>
      <c r="O235" s="1353"/>
      <c r="P235" s="1354"/>
    </row>
    <row r="236" spans="1:16" ht="27.75" customHeight="1">
      <c r="A236" s="25"/>
      <c r="B236" s="27"/>
      <c r="C236" s="27"/>
      <c r="D236" s="646"/>
      <c r="E236" s="646"/>
      <c r="F236" s="287"/>
      <c r="G236" s="781" t="s">
        <v>359</v>
      </c>
      <c r="H236" s="801"/>
      <c r="I236" s="801"/>
      <c r="J236" s="801"/>
      <c r="K236" s="801"/>
      <c r="L236" s="801"/>
      <c r="M236" s="801"/>
      <c r="N236" s="761"/>
      <c r="O236" s="761"/>
      <c r="P236" s="762">
        <f>SUM(N235:P235)</f>
        <v>64442000</v>
      </c>
    </row>
    <row r="237" spans="1:16" ht="27.75" customHeight="1">
      <c r="A237" s="25"/>
      <c r="B237" s="27"/>
      <c r="C237" s="27"/>
      <c r="D237" s="646"/>
      <c r="E237" s="646"/>
      <c r="F237" s="287"/>
      <c r="G237" s="756" t="s">
        <v>4</v>
      </c>
      <c r="H237" s="801"/>
      <c r="I237" s="801"/>
      <c r="J237" s="801"/>
      <c r="K237" s="801"/>
      <c r="L237" s="759"/>
      <c r="M237" s="761"/>
      <c r="N237" s="1353">
        <f>SUM(N233+P236)</f>
        <v>114442000</v>
      </c>
      <c r="O237" s="1353"/>
      <c r="P237" s="1354"/>
    </row>
    <row r="238" spans="1:16" ht="30" customHeight="1">
      <c r="A238" s="25"/>
      <c r="B238" s="27"/>
      <c r="C238" s="28">
        <v>4226</v>
      </c>
      <c r="D238" s="647"/>
      <c r="E238" s="647"/>
      <c r="F238" s="288"/>
      <c r="G238" s="764"/>
      <c r="H238" s="769"/>
      <c r="I238" s="769"/>
      <c r="J238" s="769"/>
      <c r="K238" s="769"/>
      <c r="L238" s="769"/>
      <c r="M238" s="783"/>
      <c r="N238" s="784"/>
      <c r="O238" s="784"/>
      <c r="P238" s="785"/>
    </row>
    <row r="239" spans="1:16" ht="30" customHeight="1">
      <c r="A239" s="25"/>
      <c r="B239" s="27"/>
      <c r="C239" s="27" t="s">
        <v>262</v>
      </c>
      <c r="D239" s="646">
        <v>818838</v>
      </c>
      <c r="E239" s="655">
        <v>805800</v>
      </c>
      <c r="F239" s="287">
        <f>D239-E239</f>
        <v>13038</v>
      </c>
      <c r="G239" s="759" t="s">
        <v>651</v>
      </c>
      <c r="H239" s="759"/>
      <c r="I239" s="759"/>
      <c r="J239" s="759"/>
      <c r="K239" s="759"/>
      <c r="L239" s="759"/>
      <c r="M239" s="773"/>
      <c r="N239" s="1359" t="s">
        <v>652</v>
      </c>
      <c r="O239" s="1359"/>
      <c r="P239" s="1360"/>
    </row>
    <row r="240" spans="1:16" ht="30" customHeight="1">
      <c r="A240" s="25"/>
      <c r="B240" s="27"/>
      <c r="C240" s="27"/>
      <c r="D240" s="646" t="s">
        <v>3</v>
      </c>
      <c r="E240" s="646" t="s">
        <v>3</v>
      </c>
      <c r="F240" s="287"/>
      <c r="G240" s="773" t="s">
        <v>910</v>
      </c>
      <c r="H240" s="773"/>
      <c r="I240" s="773"/>
      <c r="J240" s="1043" t="s">
        <v>890</v>
      </c>
      <c r="K240" s="782" t="s">
        <v>911</v>
      </c>
      <c r="L240" s="1377">
        <v>13333333</v>
      </c>
      <c r="M240" s="1377"/>
      <c r="N240" s="1353">
        <v>160000000</v>
      </c>
      <c r="O240" s="1353"/>
      <c r="P240" s="1354"/>
    </row>
    <row r="241" spans="1:16" ht="30" customHeight="1">
      <c r="A241" s="25"/>
      <c r="B241" s="27"/>
      <c r="C241" s="27"/>
      <c r="D241" s="646"/>
      <c r="E241" s="646"/>
      <c r="F241" s="287"/>
      <c r="G241" s="773" t="s">
        <v>1168</v>
      </c>
      <c r="H241" s="773"/>
      <c r="I241" s="773"/>
      <c r="J241" s="1043" t="s">
        <v>890</v>
      </c>
      <c r="K241" s="782" t="s">
        <v>911</v>
      </c>
      <c r="L241" s="1377">
        <v>3986500</v>
      </c>
      <c r="M241" s="1377"/>
      <c r="N241" s="1353">
        <f>L241*12</f>
        <v>47838000</v>
      </c>
      <c r="O241" s="1353"/>
      <c r="P241" s="1354"/>
    </row>
    <row r="242" spans="1:16" ht="30" customHeight="1">
      <c r="A242" s="25"/>
      <c r="B242" s="27"/>
      <c r="C242" s="27"/>
      <c r="D242" s="646"/>
      <c r="E242" s="646"/>
      <c r="F242" s="287"/>
      <c r="G242" s="781" t="s">
        <v>912</v>
      </c>
      <c r="H242" s="1046"/>
      <c r="I242" s="1046"/>
      <c r="J242" s="1043" t="s">
        <v>890</v>
      </c>
      <c r="K242" s="782" t="s">
        <v>911</v>
      </c>
      <c r="L242" s="1377">
        <v>2033333</v>
      </c>
      <c r="M242" s="1377"/>
      <c r="N242" s="1353">
        <v>28000000</v>
      </c>
      <c r="O242" s="1353"/>
      <c r="P242" s="1354"/>
    </row>
    <row r="243" spans="1:16" ht="30" customHeight="1">
      <c r="A243" s="25"/>
      <c r="B243" s="27"/>
      <c r="C243" s="27"/>
      <c r="D243" s="646"/>
      <c r="E243" s="646"/>
      <c r="F243" s="287"/>
      <c r="G243" s="781" t="s">
        <v>656</v>
      </c>
      <c r="H243" s="1046"/>
      <c r="I243" s="1046"/>
      <c r="J243" s="1046"/>
      <c r="K243" s="759"/>
      <c r="L243" s="759"/>
      <c r="M243" s="759"/>
      <c r="N243" s="1353">
        <f>SUM(N240:P242)</f>
        <v>235838000</v>
      </c>
      <c r="O243" s="1353"/>
      <c r="P243" s="1354"/>
    </row>
    <row r="244" spans="1:16" ht="30" customHeight="1">
      <c r="A244" s="25"/>
      <c r="B244" s="27"/>
      <c r="C244" s="27"/>
      <c r="D244" s="646"/>
      <c r="E244" s="646"/>
      <c r="F244" s="287"/>
      <c r="G244" s="781" t="s">
        <v>350</v>
      </c>
      <c r="H244" s="1046"/>
      <c r="I244" s="1046"/>
      <c r="J244" s="1046"/>
      <c r="K244" s="759"/>
      <c r="L244" s="759"/>
      <c r="M244" s="759"/>
      <c r="N244" s="1351" t="s">
        <v>351</v>
      </c>
      <c r="O244" s="1351"/>
      <c r="P244" s="1352"/>
    </row>
    <row r="245" spans="1:16" ht="30" customHeight="1">
      <c r="A245" s="25"/>
      <c r="B245" s="27"/>
      <c r="C245" s="27"/>
      <c r="D245" s="646"/>
      <c r="E245" s="646"/>
      <c r="F245" s="287"/>
      <c r="G245" s="1364" t="s">
        <v>386</v>
      </c>
      <c r="H245" s="1365"/>
      <c r="I245" s="1046"/>
      <c r="J245" s="1043" t="s">
        <v>387</v>
      </c>
      <c r="K245" s="782" t="s">
        <v>388</v>
      </c>
      <c r="L245" s="1351">
        <v>43333333</v>
      </c>
      <c r="M245" s="1351"/>
      <c r="N245" s="1353">
        <v>520000000</v>
      </c>
      <c r="O245" s="1353"/>
      <c r="P245" s="1354"/>
    </row>
    <row r="246" spans="1:16" ht="30" customHeight="1">
      <c r="A246" s="25"/>
      <c r="B246" s="27"/>
      <c r="C246" s="27"/>
      <c r="D246" s="646"/>
      <c r="E246" s="646"/>
      <c r="F246" s="287"/>
      <c r="G246" s="1364" t="s">
        <v>389</v>
      </c>
      <c r="H246" s="1365"/>
      <c r="I246" s="1046"/>
      <c r="J246" s="1043" t="s">
        <v>387</v>
      </c>
      <c r="K246" s="782" t="s">
        <v>388</v>
      </c>
      <c r="L246" s="1351">
        <v>5250000</v>
      </c>
      <c r="M246" s="1351"/>
      <c r="N246" s="1353">
        <f>L246*12</f>
        <v>63000000</v>
      </c>
      <c r="O246" s="1353"/>
      <c r="P246" s="1354"/>
    </row>
    <row r="247" spans="1:16" ht="30" customHeight="1">
      <c r="A247" s="25"/>
      <c r="B247" s="27"/>
      <c r="C247" s="27"/>
      <c r="D247" s="646"/>
      <c r="E247" s="646"/>
      <c r="F247" s="287"/>
      <c r="G247" s="781" t="s">
        <v>359</v>
      </c>
      <c r="H247" s="759"/>
      <c r="I247" s="759"/>
      <c r="J247" s="759"/>
      <c r="K247" s="759"/>
      <c r="L247" s="759"/>
      <c r="M247" s="759"/>
      <c r="N247" s="1353">
        <f>SUM(N245:P246)</f>
        <v>583000000</v>
      </c>
      <c r="O247" s="1353"/>
      <c r="P247" s="1354"/>
    </row>
    <row r="248" spans="1:16" ht="30" customHeight="1">
      <c r="A248" s="25"/>
      <c r="B248" s="27"/>
      <c r="C248" s="27"/>
      <c r="D248" s="646"/>
      <c r="E248" s="646"/>
      <c r="F248" s="287"/>
      <c r="G248" s="781" t="s">
        <v>249</v>
      </c>
      <c r="H248" s="759"/>
      <c r="I248" s="759"/>
      <c r="J248" s="759"/>
      <c r="K248" s="759"/>
      <c r="L248" s="759"/>
      <c r="M248" s="759"/>
      <c r="N248" s="1353">
        <f>SUM(N243+N247)</f>
        <v>818838000</v>
      </c>
      <c r="O248" s="1353"/>
      <c r="P248" s="1354"/>
    </row>
    <row r="249" spans="1:16" ht="24" customHeight="1">
      <c r="A249" s="25"/>
      <c r="B249" s="27"/>
      <c r="C249" s="28">
        <v>4227</v>
      </c>
      <c r="D249" s="647"/>
      <c r="E249" s="647"/>
      <c r="F249" s="288"/>
      <c r="G249" s="764"/>
      <c r="H249" s="769"/>
      <c r="I249" s="769"/>
      <c r="J249" s="769"/>
      <c r="K249" s="769"/>
      <c r="L249" s="769"/>
      <c r="M249" s="1382" t="s">
        <v>120</v>
      </c>
      <c r="N249" s="1382"/>
      <c r="O249" s="1382"/>
      <c r="P249" s="1383"/>
    </row>
    <row r="250" spans="1:16" ht="30" customHeight="1">
      <c r="A250" s="25"/>
      <c r="B250" s="27"/>
      <c r="C250" s="27" t="s">
        <v>263</v>
      </c>
      <c r="D250" s="646">
        <v>49834</v>
      </c>
      <c r="E250" s="655">
        <v>72000</v>
      </c>
      <c r="F250" s="287">
        <f>D250-E250</f>
        <v>-22166</v>
      </c>
      <c r="G250" s="1368" t="s">
        <v>885</v>
      </c>
      <c r="H250" s="1369"/>
      <c r="I250" s="1046"/>
      <c r="J250" s="1046"/>
      <c r="K250" s="1353" t="s">
        <v>887</v>
      </c>
      <c r="L250" s="1353"/>
      <c r="M250" s="773"/>
      <c r="N250" s="1359" t="s">
        <v>887</v>
      </c>
      <c r="O250" s="1359"/>
      <c r="P250" s="1360"/>
    </row>
    <row r="251" spans="1:16" ht="26.25" customHeight="1">
      <c r="A251" s="25"/>
      <c r="B251" s="27"/>
      <c r="C251" s="27"/>
      <c r="D251" s="646"/>
      <c r="E251" s="646"/>
      <c r="F251" s="287"/>
      <c r="G251" s="773" t="s">
        <v>915</v>
      </c>
      <c r="H251" s="773"/>
      <c r="I251" s="773"/>
      <c r="J251" s="1046" t="s">
        <v>890</v>
      </c>
      <c r="K251" s="782" t="s">
        <v>911</v>
      </c>
      <c r="L251" s="1351">
        <v>200000</v>
      </c>
      <c r="M251" s="1351"/>
      <c r="N251" s="1351">
        <v>2400000</v>
      </c>
      <c r="O251" s="1351"/>
      <c r="P251" s="1352"/>
    </row>
    <row r="252" spans="1:16" ht="26.25" customHeight="1">
      <c r="A252" s="25"/>
      <c r="B252" s="27"/>
      <c r="C252" s="27"/>
      <c r="D252" s="646"/>
      <c r="E252" s="646"/>
      <c r="F252" s="287"/>
      <c r="G252" s="781" t="s">
        <v>916</v>
      </c>
      <c r="H252" s="1046"/>
      <c r="I252" s="1046"/>
      <c r="J252" s="1046" t="s">
        <v>890</v>
      </c>
      <c r="K252" s="782" t="s">
        <v>911</v>
      </c>
      <c r="L252" s="1351">
        <v>905000</v>
      </c>
      <c r="M252" s="1351"/>
      <c r="N252" s="1353">
        <v>10860000</v>
      </c>
      <c r="O252" s="1353"/>
      <c r="P252" s="1354"/>
    </row>
    <row r="253" spans="1:16" ht="26.25" customHeight="1" hidden="1">
      <c r="A253" s="29"/>
      <c r="B253" s="30"/>
      <c r="C253" s="30"/>
      <c r="D253" s="648"/>
      <c r="E253" s="648"/>
      <c r="F253" s="289"/>
      <c r="G253" s="789"/>
      <c r="H253" s="1057"/>
      <c r="I253" s="1057"/>
      <c r="J253" s="1057"/>
      <c r="K253" s="1040"/>
      <c r="L253" s="1040"/>
      <c r="M253" s="1040"/>
      <c r="N253" s="1384"/>
      <c r="O253" s="1384"/>
      <c r="P253" s="1385"/>
    </row>
    <row r="254" spans="1:16" ht="26.25" customHeight="1" hidden="1">
      <c r="A254" s="25"/>
      <c r="B254" s="27"/>
      <c r="C254" s="27"/>
      <c r="D254" s="646"/>
      <c r="E254" s="646"/>
      <c r="F254" s="287"/>
      <c r="G254" s="781"/>
      <c r="H254" s="1046"/>
      <c r="I254" s="1046"/>
      <c r="J254" s="1046"/>
      <c r="K254" s="761"/>
      <c r="L254" s="761"/>
      <c r="M254" s="761"/>
      <c r="N254" s="1405"/>
      <c r="O254" s="1405"/>
      <c r="P254" s="1406"/>
    </row>
    <row r="255" spans="1:16" ht="26.25" customHeight="1" hidden="1">
      <c r="A255" s="25"/>
      <c r="B255" s="27"/>
      <c r="C255" s="27"/>
      <c r="D255" s="646"/>
      <c r="E255" s="646"/>
      <c r="F255" s="287"/>
      <c r="G255" s="781"/>
      <c r="H255" s="1046"/>
      <c r="I255" s="1046"/>
      <c r="J255" s="1046"/>
      <c r="K255" s="761"/>
      <c r="L255" s="761"/>
      <c r="M255" s="761"/>
      <c r="N255" s="1353"/>
      <c r="O255" s="1353"/>
      <c r="P255" s="1354"/>
    </row>
    <row r="256" spans="1:16" ht="26.25" customHeight="1">
      <c r="A256" s="25"/>
      <c r="B256" s="27"/>
      <c r="C256" s="27"/>
      <c r="D256" s="646"/>
      <c r="E256" s="646"/>
      <c r="F256" s="287"/>
      <c r="G256" s="781" t="s">
        <v>656</v>
      </c>
      <c r="H256" s="1046"/>
      <c r="I256" s="1046"/>
      <c r="J256" s="1046"/>
      <c r="K256" s="761"/>
      <c r="L256" s="761"/>
      <c r="M256" s="760"/>
      <c r="N256" s="1353">
        <f>SUM(N251:P255)</f>
        <v>13260000</v>
      </c>
      <c r="O256" s="1353"/>
      <c r="P256" s="1354"/>
    </row>
    <row r="257" spans="1:16" ht="23.25" customHeight="1">
      <c r="A257" s="25"/>
      <c r="B257" s="27"/>
      <c r="C257" s="27"/>
      <c r="D257" s="646"/>
      <c r="E257" s="646"/>
      <c r="F257" s="287"/>
      <c r="G257" s="781" t="s">
        <v>148</v>
      </c>
      <c r="H257" s="1046"/>
      <c r="I257" s="1046"/>
      <c r="J257" s="1046"/>
      <c r="K257" s="761"/>
      <c r="L257" s="761"/>
      <c r="M257" s="760"/>
      <c r="N257" s="1351" t="s">
        <v>120</v>
      </c>
      <c r="O257" s="1351"/>
      <c r="P257" s="1352"/>
    </row>
    <row r="258" spans="1:16" ht="27.75" customHeight="1">
      <c r="A258" s="25"/>
      <c r="B258" s="27"/>
      <c r="C258" s="27"/>
      <c r="D258" s="646"/>
      <c r="E258" s="646"/>
      <c r="F258" s="287"/>
      <c r="G258" s="1046" t="s">
        <v>68</v>
      </c>
      <c r="H258" s="773"/>
      <c r="I258" s="1046"/>
      <c r="J258" s="1046" t="s">
        <v>191</v>
      </c>
      <c r="K258" s="782" t="s">
        <v>105</v>
      </c>
      <c r="L258" s="1351">
        <v>2047834</v>
      </c>
      <c r="M258" s="1351"/>
      <c r="N258" s="1351">
        <v>24574000</v>
      </c>
      <c r="O258" s="1351"/>
      <c r="P258" s="1352"/>
    </row>
    <row r="259" spans="1:16" ht="27.75" customHeight="1">
      <c r="A259" s="25"/>
      <c r="B259" s="27"/>
      <c r="C259" s="27"/>
      <c r="D259" s="646"/>
      <c r="E259" s="646"/>
      <c r="F259" s="287"/>
      <c r="G259" s="1046" t="s">
        <v>1280</v>
      </c>
      <c r="I259" s="1058"/>
      <c r="J259" s="1046" t="s">
        <v>191</v>
      </c>
      <c r="K259" s="782" t="s">
        <v>105</v>
      </c>
      <c r="L259" s="1351">
        <v>1000000</v>
      </c>
      <c r="M259" s="1351"/>
      <c r="N259" s="1351">
        <f>L259*12</f>
        <v>12000000</v>
      </c>
      <c r="O259" s="1351"/>
      <c r="P259" s="1352"/>
    </row>
    <row r="260" spans="1:16" ht="27.75" customHeight="1">
      <c r="A260" s="25"/>
      <c r="B260" s="27"/>
      <c r="C260" s="27"/>
      <c r="D260" s="646"/>
      <c r="E260" s="646"/>
      <c r="F260" s="287"/>
      <c r="G260" s="781" t="s">
        <v>359</v>
      </c>
      <c r="H260" s="1048"/>
      <c r="I260" s="1048"/>
      <c r="J260" s="1046"/>
      <c r="K260" s="782"/>
      <c r="L260" s="760"/>
      <c r="M260" s="760"/>
      <c r="N260" s="760"/>
      <c r="O260" s="760"/>
      <c r="P260" s="788">
        <f>SUM(N258:P259)</f>
        <v>36574000</v>
      </c>
    </row>
    <row r="261" spans="1:16" ht="27.75" customHeight="1">
      <c r="A261" s="25"/>
      <c r="B261" s="27"/>
      <c r="C261" s="24"/>
      <c r="D261" s="645"/>
      <c r="E261" s="645"/>
      <c r="F261" s="286"/>
      <c r="G261" s="777" t="s">
        <v>4</v>
      </c>
      <c r="H261" s="756"/>
      <c r="I261" s="756"/>
      <c r="J261" s="756"/>
      <c r="K261" s="756"/>
      <c r="L261" s="756"/>
      <c r="M261" s="768" t="s">
        <v>120</v>
      </c>
      <c r="N261" s="1378">
        <f>SUM(N256+P260)</f>
        <v>49834000</v>
      </c>
      <c r="O261" s="1378"/>
      <c r="P261" s="1379"/>
    </row>
    <row r="262" spans="1:16" ht="32.25" customHeight="1">
      <c r="A262" s="25"/>
      <c r="B262" s="27"/>
      <c r="C262" s="27">
        <v>4228</v>
      </c>
      <c r="D262" s="646"/>
      <c r="E262" s="646"/>
      <c r="F262" s="287"/>
      <c r="G262" s="773"/>
      <c r="H262" s="759"/>
      <c r="I262" s="759"/>
      <c r="J262" s="759"/>
      <c r="K262" s="759"/>
      <c r="L262" s="759"/>
      <c r="M262" s="759"/>
      <c r="N262" s="761"/>
      <c r="O262" s="761"/>
      <c r="P262" s="762"/>
    </row>
    <row r="263" spans="1:16" ht="32.25" customHeight="1">
      <c r="A263" s="25"/>
      <c r="B263" s="27"/>
      <c r="C263" s="27" t="s">
        <v>264</v>
      </c>
      <c r="D263" s="646">
        <v>200908</v>
      </c>
      <c r="E263" s="655">
        <v>262250</v>
      </c>
      <c r="F263" s="287">
        <f>D263-E263</f>
        <v>-61342</v>
      </c>
      <c r="G263" s="1368" t="s">
        <v>651</v>
      </c>
      <c r="H263" s="1369"/>
      <c r="I263" s="1369"/>
      <c r="J263" s="1369"/>
      <c r="K263" s="1369"/>
      <c r="L263" s="1369"/>
      <c r="M263" s="1369"/>
      <c r="N263" s="1359" t="s">
        <v>652</v>
      </c>
      <c r="O263" s="1359"/>
      <c r="P263" s="1360"/>
    </row>
    <row r="264" spans="1:16" ht="32.25" customHeight="1">
      <c r="A264" s="25"/>
      <c r="B264" s="27"/>
      <c r="C264" s="27"/>
      <c r="D264" s="646"/>
      <c r="E264" s="646"/>
      <c r="F264" s="287"/>
      <c r="G264" s="759" t="s">
        <v>1281</v>
      </c>
      <c r="H264" s="1048"/>
      <c r="I264" s="1048"/>
      <c r="J264" s="1048"/>
      <c r="K264" s="1048"/>
      <c r="L264" s="1048"/>
      <c r="M264" s="1048"/>
      <c r="N264" s="1353">
        <v>16250000</v>
      </c>
      <c r="O264" s="1353"/>
      <c r="P264" s="1354"/>
    </row>
    <row r="265" spans="1:16" ht="32.25" customHeight="1">
      <c r="A265" s="25"/>
      <c r="B265" s="27"/>
      <c r="C265" s="27"/>
      <c r="D265" s="646"/>
      <c r="E265" s="646"/>
      <c r="F265" s="287"/>
      <c r="G265" s="759" t="s">
        <v>918</v>
      </c>
      <c r="H265" s="1048"/>
      <c r="I265" s="1048"/>
      <c r="J265" s="1048"/>
      <c r="K265" s="1048"/>
      <c r="L265" s="1048"/>
      <c r="M265" s="1048"/>
      <c r="N265" s="1353">
        <v>90000000</v>
      </c>
      <c r="O265" s="1353"/>
      <c r="P265" s="1354"/>
    </row>
    <row r="266" spans="1:16" ht="32.25" customHeight="1" hidden="1">
      <c r="A266" s="25"/>
      <c r="B266" s="27"/>
      <c r="C266" s="27"/>
      <c r="D266" s="646"/>
      <c r="E266" s="646"/>
      <c r="F266" s="287"/>
      <c r="G266" s="759"/>
      <c r="H266" s="1048"/>
      <c r="I266" s="1048"/>
      <c r="J266" s="1048"/>
      <c r="K266" s="1048"/>
      <c r="L266" s="1048"/>
      <c r="M266" s="1048"/>
      <c r="N266" s="1353"/>
      <c r="O266" s="1353"/>
      <c r="P266" s="1354"/>
    </row>
    <row r="267" spans="1:16" ht="32.25" customHeight="1">
      <c r="A267" s="25"/>
      <c r="B267" s="27"/>
      <c r="C267" s="27"/>
      <c r="D267" s="646"/>
      <c r="E267" s="646"/>
      <c r="F267" s="287"/>
      <c r="G267" s="781" t="s">
        <v>656</v>
      </c>
      <c r="H267" s="1048"/>
      <c r="I267" s="1048"/>
      <c r="J267" s="1048"/>
      <c r="K267" s="1048"/>
      <c r="L267" s="1048"/>
      <c r="M267" s="1048"/>
      <c r="N267" s="1353">
        <f>SUM(N264:P266)</f>
        <v>106250000</v>
      </c>
      <c r="O267" s="1353"/>
      <c r="P267" s="1354"/>
    </row>
    <row r="268" spans="1:16" ht="32.25" customHeight="1">
      <c r="A268" s="25"/>
      <c r="B268" s="27"/>
      <c r="C268" s="27"/>
      <c r="D268" s="646"/>
      <c r="E268" s="646"/>
      <c r="F268" s="287"/>
      <c r="G268" s="759" t="s">
        <v>350</v>
      </c>
      <c r="H268" s="1048"/>
      <c r="I268" s="1048"/>
      <c r="J268" s="1048"/>
      <c r="K268" s="1048"/>
      <c r="L268" s="1048"/>
      <c r="M268" s="1048"/>
      <c r="N268" s="1351" t="s">
        <v>351</v>
      </c>
      <c r="O268" s="1351"/>
      <c r="P268" s="1352"/>
    </row>
    <row r="269" spans="1:16" ht="32.25" customHeight="1">
      <c r="A269" s="25"/>
      <c r="B269" s="325"/>
      <c r="C269" s="325"/>
      <c r="D269" s="946"/>
      <c r="E269" s="946"/>
      <c r="F269" s="326"/>
      <c r="G269" s="1366" t="s">
        <v>390</v>
      </c>
      <c r="H269" s="1370"/>
      <c r="I269" s="1370"/>
      <c r="J269" s="1370"/>
      <c r="K269" s="1370"/>
      <c r="L269" s="1059" t="s">
        <v>351</v>
      </c>
      <c r="M269" s="1059"/>
      <c r="N269" s="1353">
        <v>10000000</v>
      </c>
      <c r="O269" s="1353"/>
      <c r="P269" s="1354"/>
    </row>
    <row r="270" spans="1:16" ht="32.25" customHeight="1">
      <c r="A270" s="25"/>
      <c r="B270" s="27"/>
      <c r="C270" s="27"/>
      <c r="D270" s="646"/>
      <c r="E270" s="646"/>
      <c r="F270" s="287"/>
      <c r="G270" s="1366" t="s">
        <v>391</v>
      </c>
      <c r="H270" s="1370"/>
      <c r="I270" s="1370"/>
      <c r="J270" s="1370"/>
      <c r="K270" s="1370"/>
      <c r="L270" s="1059" t="s">
        <v>351</v>
      </c>
      <c r="M270" s="1059"/>
      <c r="N270" s="1353">
        <v>6000000</v>
      </c>
      <c r="O270" s="1353"/>
      <c r="P270" s="1354"/>
    </row>
    <row r="271" spans="1:16" ht="32.25" customHeight="1">
      <c r="A271" s="25"/>
      <c r="B271" s="27"/>
      <c r="C271" s="27"/>
      <c r="D271" s="646"/>
      <c r="E271" s="646"/>
      <c r="F271" s="287"/>
      <c r="G271" s="1366" t="s">
        <v>1048</v>
      </c>
      <c r="H271" s="1370"/>
      <c r="I271" s="1370"/>
      <c r="J271" s="1370"/>
      <c r="K271" s="1370"/>
      <c r="L271" s="1059" t="s">
        <v>351</v>
      </c>
      <c r="M271" s="1059"/>
      <c r="N271" s="1353">
        <v>10000000</v>
      </c>
      <c r="O271" s="1353"/>
      <c r="P271" s="1354"/>
    </row>
    <row r="272" spans="1:16" ht="32.25" customHeight="1">
      <c r="A272" s="25"/>
      <c r="B272" s="27"/>
      <c r="C272" s="27"/>
      <c r="D272" s="646"/>
      <c r="E272" s="646"/>
      <c r="F272" s="287"/>
      <c r="G272" s="1366" t="s">
        <v>392</v>
      </c>
      <c r="H272" s="1370"/>
      <c r="I272" s="1370"/>
      <c r="J272" s="1370"/>
      <c r="K272" s="1370"/>
      <c r="L272" s="1059" t="s">
        <v>351</v>
      </c>
      <c r="M272" s="1059"/>
      <c r="N272" s="1353">
        <v>60000000</v>
      </c>
      <c r="O272" s="1353"/>
      <c r="P272" s="1354"/>
    </row>
    <row r="273" spans="1:16" ht="32.25" customHeight="1">
      <c r="A273" s="25"/>
      <c r="B273" s="27"/>
      <c r="C273" s="27"/>
      <c r="D273" s="646"/>
      <c r="E273" s="646"/>
      <c r="F273" s="287"/>
      <c r="G273" s="1366" t="s">
        <v>1049</v>
      </c>
      <c r="H273" s="1370"/>
      <c r="I273" s="1370"/>
      <c r="J273" s="1370"/>
      <c r="K273" s="1370"/>
      <c r="L273" s="1059" t="s">
        <v>351</v>
      </c>
      <c r="M273" s="1059"/>
      <c r="N273" s="1353">
        <v>8658000</v>
      </c>
      <c r="O273" s="1353"/>
      <c r="P273" s="1354"/>
    </row>
    <row r="274" spans="1:16" ht="32.25" customHeight="1">
      <c r="A274" s="25"/>
      <c r="B274" s="27"/>
      <c r="C274" s="27"/>
      <c r="D274" s="646"/>
      <c r="E274" s="646"/>
      <c r="F274" s="287"/>
      <c r="G274" s="781" t="s">
        <v>359</v>
      </c>
      <c r="H274" s="759"/>
      <c r="I274" s="759"/>
      <c r="J274" s="759"/>
      <c r="K274" s="759"/>
      <c r="L274" s="759"/>
      <c r="M274" s="760" t="s">
        <v>351</v>
      </c>
      <c r="N274" s="1351">
        <f>SUM(N269:P273)</f>
        <v>94658000</v>
      </c>
      <c r="O274" s="1351"/>
      <c r="P274" s="1352"/>
    </row>
    <row r="275" spans="1:16" ht="32.25" customHeight="1">
      <c r="A275" s="25"/>
      <c r="B275" s="27"/>
      <c r="C275" s="232"/>
      <c r="D275" s="652"/>
      <c r="E275" s="652"/>
      <c r="F275" s="293"/>
      <c r="G275" s="777" t="s">
        <v>4</v>
      </c>
      <c r="H275" s="802"/>
      <c r="I275" s="802"/>
      <c r="J275" s="802"/>
      <c r="K275" s="802"/>
      <c r="L275" s="802"/>
      <c r="M275" s="1144" t="s">
        <v>120</v>
      </c>
      <c r="N275" s="1371">
        <f>SUM(N267+N274)</f>
        <v>200908000</v>
      </c>
      <c r="O275" s="1371"/>
      <c r="P275" s="1372"/>
    </row>
    <row r="276" spans="1:16" ht="26.25" customHeight="1">
      <c r="A276" s="25"/>
      <c r="B276" s="27"/>
      <c r="C276" s="27">
        <v>4229</v>
      </c>
      <c r="D276" s="646"/>
      <c r="E276" s="646"/>
      <c r="F276" s="287"/>
      <c r="G276" s="776"/>
      <c r="H276" s="774"/>
      <c r="I276" s="774"/>
      <c r="J276" s="774"/>
      <c r="K276" s="774"/>
      <c r="L276" s="774"/>
      <c r="M276" s="774"/>
      <c r="N276" s="761"/>
      <c r="O276" s="761"/>
      <c r="P276" s="762"/>
    </row>
    <row r="277" spans="1:16" ht="30" customHeight="1">
      <c r="A277" s="25"/>
      <c r="B277" s="27"/>
      <c r="C277" s="27" t="s">
        <v>265</v>
      </c>
      <c r="D277" s="646">
        <v>42364</v>
      </c>
      <c r="E277" s="655">
        <v>45000</v>
      </c>
      <c r="F277" s="287">
        <f>D277-E277</f>
        <v>-2636</v>
      </c>
      <c r="G277" s="781" t="s">
        <v>651</v>
      </c>
      <c r="H277" s="796"/>
      <c r="I277" s="759"/>
      <c r="J277" s="759"/>
      <c r="K277" s="759"/>
      <c r="L277" s="759"/>
      <c r="M277" s="759"/>
      <c r="N277" s="1359" t="s">
        <v>652</v>
      </c>
      <c r="O277" s="1359"/>
      <c r="P277" s="1360"/>
    </row>
    <row r="278" spans="1:16" ht="30" customHeight="1">
      <c r="A278" s="25"/>
      <c r="B278" s="27"/>
      <c r="C278" s="27"/>
      <c r="D278" s="646"/>
      <c r="E278" s="646"/>
      <c r="F278" s="287"/>
      <c r="G278" s="773" t="s">
        <v>920</v>
      </c>
      <c r="H278" s="773"/>
      <c r="I278" s="773"/>
      <c r="J278" s="773"/>
      <c r="K278" s="773"/>
      <c r="L278" s="773"/>
      <c r="M278" s="773"/>
      <c r="N278" s="1353">
        <v>5000000</v>
      </c>
      <c r="O278" s="1353"/>
      <c r="P278" s="1354"/>
    </row>
    <row r="279" spans="1:16" ht="30" customHeight="1">
      <c r="A279" s="25"/>
      <c r="B279" s="27"/>
      <c r="C279" s="27"/>
      <c r="D279" s="646"/>
      <c r="E279" s="646"/>
      <c r="F279" s="287"/>
      <c r="G279" s="781" t="s">
        <v>921</v>
      </c>
      <c r="H279" s="759"/>
      <c r="I279" s="759"/>
      <c r="J279" s="759"/>
      <c r="K279" s="759"/>
      <c r="L279" s="759"/>
      <c r="M279" s="760"/>
      <c r="N279" s="1353">
        <v>30000000</v>
      </c>
      <c r="O279" s="1353"/>
      <c r="P279" s="1354"/>
    </row>
    <row r="280" spans="1:16" ht="30" customHeight="1">
      <c r="A280" s="25"/>
      <c r="B280" s="27"/>
      <c r="C280" s="27"/>
      <c r="D280" s="646"/>
      <c r="E280" s="646"/>
      <c r="F280" s="287"/>
      <c r="G280" s="781" t="s">
        <v>656</v>
      </c>
      <c r="H280" s="759"/>
      <c r="I280" s="759"/>
      <c r="J280" s="759"/>
      <c r="K280" s="759"/>
      <c r="L280" s="759"/>
      <c r="M280" s="760"/>
      <c r="N280" s="1353">
        <f>SUM(N278:P279)</f>
        <v>35000000</v>
      </c>
      <c r="O280" s="1353"/>
      <c r="P280" s="1354"/>
    </row>
    <row r="281" spans="1:16" ht="30" customHeight="1">
      <c r="A281" s="25"/>
      <c r="B281" s="27"/>
      <c r="C281" s="27"/>
      <c r="D281" s="646"/>
      <c r="E281" s="646"/>
      <c r="F281" s="287"/>
      <c r="G281" s="781" t="s">
        <v>148</v>
      </c>
      <c r="H281" s="759"/>
      <c r="I281" s="759"/>
      <c r="J281" s="759"/>
      <c r="K281" s="759"/>
      <c r="L281" s="759"/>
      <c r="M281" s="760"/>
      <c r="N281" s="1351" t="s">
        <v>120</v>
      </c>
      <c r="O281" s="1351"/>
      <c r="P281" s="1352"/>
    </row>
    <row r="282" spans="1:16" ht="30" customHeight="1" hidden="1">
      <c r="A282" s="25"/>
      <c r="B282" s="27"/>
      <c r="C282" s="27"/>
      <c r="D282" s="646"/>
      <c r="E282" s="646"/>
      <c r="F282" s="287"/>
      <c r="G282" s="781"/>
      <c r="H282" s="759"/>
      <c r="I282" s="759"/>
      <c r="J282" s="759"/>
      <c r="K282" s="759"/>
      <c r="L282" s="759"/>
      <c r="M282" s="760"/>
      <c r="N282" s="1353"/>
      <c r="O282" s="1353"/>
      <c r="P282" s="1354"/>
    </row>
    <row r="283" spans="1:16" ht="30" customHeight="1" hidden="1">
      <c r="A283" s="25"/>
      <c r="B283" s="27"/>
      <c r="C283" s="27"/>
      <c r="D283" s="646"/>
      <c r="E283" s="646"/>
      <c r="F283" s="287"/>
      <c r="G283" s="781"/>
      <c r="H283" s="759"/>
      <c r="I283" s="759"/>
      <c r="J283" s="759"/>
      <c r="K283" s="759"/>
      <c r="L283" s="759"/>
      <c r="M283" s="760"/>
      <c r="N283" s="761"/>
      <c r="O283" s="761"/>
      <c r="P283" s="762"/>
    </row>
    <row r="284" spans="1:16" ht="30" customHeight="1" hidden="1">
      <c r="A284" s="25"/>
      <c r="B284" s="27"/>
      <c r="C284" s="27"/>
      <c r="D284" s="646"/>
      <c r="E284" s="646"/>
      <c r="F284" s="287"/>
      <c r="G284" s="781"/>
      <c r="H284" s="759"/>
      <c r="I284" s="759"/>
      <c r="J284" s="759"/>
      <c r="K284" s="759"/>
      <c r="L284" s="759"/>
      <c r="M284" s="760"/>
      <c r="N284" s="761"/>
      <c r="O284" s="761"/>
      <c r="P284" s="762"/>
    </row>
    <row r="285" spans="1:16" ht="30" customHeight="1">
      <c r="A285" s="25"/>
      <c r="B285" s="27"/>
      <c r="C285" s="27"/>
      <c r="D285" s="646"/>
      <c r="E285" s="646"/>
      <c r="F285" s="287"/>
      <c r="G285" s="1368" t="s">
        <v>84</v>
      </c>
      <c r="H285" s="1369"/>
      <c r="I285" s="1369"/>
      <c r="J285" s="1369"/>
      <c r="K285" s="759"/>
      <c r="L285" s="759"/>
      <c r="M285" s="760" t="s">
        <v>120</v>
      </c>
      <c r="N285" s="1351">
        <v>7364000</v>
      </c>
      <c r="O285" s="1351"/>
      <c r="P285" s="1352"/>
    </row>
    <row r="286" spans="1:16" ht="30" customHeight="1">
      <c r="A286" s="25"/>
      <c r="B286" s="27"/>
      <c r="C286" s="27"/>
      <c r="D286" s="646"/>
      <c r="E286" s="646"/>
      <c r="F286" s="287"/>
      <c r="G286" s="781" t="s">
        <v>359</v>
      </c>
      <c r="H286" s="766"/>
      <c r="I286" s="766"/>
      <c r="J286" s="766"/>
      <c r="K286" s="759"/>
      <c r="L286" s="759"/>
      <c r="M286" s="760"/>
      <c r="N286" s="760"/>
      <c r="O286" s="760"/>
      <c r="P286" s="788">
        <f>SUM(N282:P285)</f>
        <v>7364000</v>
      </c>
    </row>
    <row r="287" spans="1:16" ht="30" customHeight="1">
      <c r="A287" s="25"/>
      <c r="B287" s="24"/>
      <c r="C287" s="24"/>
      <c r="D287" s="645"/>
      <c r="E287" s="645"/>
      <c r="F287" s="286"/>
      <c r="G287" s="777" t="s">
        <v>4</v>
      </c>
      <c r="H287" s="756"/>
      <c r="I287" s="756"/>
      <c r="J287" s="756"/>
      <c r="K287" s="756"/>
      <c r="L287" s="756"/>
      <c r="M287" s="756" t="s">
        <v>120</v>
      </c>
      <c r="N287" s="1378">
        <f>SUM(N280+P286)</f>
        <v>42364000</v>
      </c>
      <c r="O287" s="1378"/>
      <c r="P287" s="1379"/>
    </row>
    <row r="288" spans="1:16" ht="30" customHeight="1">
      <c r="A288" s="25"/>
      <c r="B288" s="27">
        <v>4230</v>
      </c>
      <c r="C288" s="27"/>
      <c r="D288" s="646"/>
      <c r="E288" s="646"/>
      <c r="F288" s="287"/>
      <c r="G288" s="781"/>
      <c r="H288" s="759"/>
      <c r="I288" s="759"/>
      <c r="J288" s="759"/>
      <c r="K288" s="759"/>
      <c r="L288" s="759"/>
      <c r="M288" s="760"/>
      <c r="N288" s="761"/>
      <c r="O288" s="761"/>
      <c r="P288" s="762"/>
    </row>
    <row r="289" spans="1:16" ht="30" customHeight="1">
      <c r="A289" s="25"/>
      <c r="B289" s="27" t="s">
        <v>266</v>
      </c>
      <c r="C289" s="27"/>
      <c r="D289" s="646">
        <f>D291+D308+D320+D324+D330+D346+D352+D363+D366</f>
        <v>1090575</v>
      </c>
      <c r="E289" s="646">
        <f>E291+E308+E320+E324+E330+E346+E352+E363+E366</f>
        <v>2746900</v>
      </c>
      <c r="F289" s="286">
        <f>D289-E289</f>
        <v>-1656325</v>
      </c>
      <c r="G289" s="759"/>
      <c r="H289" s="759"/>
      <c r="I289" s="759"/>
      <c r="J289" s="759"/>
      <c r="K289" s="759"/>
      <c r="L289" s="759"/>
      <c r="M289" s="760"/>
      <c r="N289" s="761"/>
      <c r="O289" s="761"/>
      <c r="P289" s="762"/>
    </row>
    <row r="290" spans="1:16" ht="30" customHeight="1">
      <c r="A290" s="25"/>
      <c r="B290" s="27"/>
      <c r="C290" s="28">
        <v>4231</v>
      </c>
      <c r="D290" s="647"/>
      <c r="E290" s="647"/>
      <c r="F290" s="288"/>
      <c r="G290" s="763"/>
      <c r="H290" s="769"/>
      <c r="I290" s="769"/>
      <c r="J290" s="769"/>
      <c r="K290" s="769"/>
      <c r="L290" s="769"/>
      <c r="M290" s="769"/>
      <c r="N290" s="798"/>
      <c r="O290" s="798"/>
      <c r="P290" s="799"/>
    </row>
    <row r="291" spans="1:16" ht="30" customHeight="1">
      <c r="A291" s="25"/>
      <c r="B291" s="27"/>
      <c r="C291" s="27" t="s">
        <v>267</v>
      </c>
      <c r="D291" s="646">
        <v>50899</v>
      </c>
      <c r="E291" s="655">
        <v>112200</v>
      </c>
      <c r="F291" s="287">
        <f>D291-E291</f>
        <v>-61301</v>
      </c>
      <c r="G291" s="759" t="s">
        <v>885</v>
      </c>
      <c r="H291" s="759"/>
      <c r="I291" s="759"/>
      <c r="J291" s="759"/>
      <c r="K291" s="759"/>
      <c r="L291" s="759"/>
      <c r="M291" s="759"/>
      <c r="N291" s="1351" t="s">
        <v>887</v>
      </c>
      <c r="O291" s="1351"/>
      <c r="P291" s="1352"/>
    </row>
    <row r="292" spans="1:16" ht="30" customHeight="1">
      <c r="A292" s="25"/>
      <c r="B292" s="27"/>
      <c r="C292" s="27"/>
      <c r="D292" s="646"/>
      <c r="E292" s="646"/>
      <c r="F292" s="287"/>
      <c r="G292" s="1355" t="s">
        <v>1282</v>
      </c>
      <c r="H292" s="1356"/>
      <c r="I292" s="1356"/>
      <c r="J292" s="1356"/>
      <c r="K292" s="1356"/>
      <c r="L292" s="773"/>
      <c r="M292" s="773"/>
      <c r="N292" s="1353">
        <v>2000000</v>
      </c>
      <c r="O292" s="1353"/>
      <c r="P292" s="1354"/>
    </row>
    <row r="293" spans="1:16" ht="30" customHeight="1">
      <c r="A293" s="25"/>
      <c r="B293" s="27"/>
      <c r="C293" s="27"/>
      <c r="D293" s="646"/>
      <c r="E293" s="646"/>
      <c r="F293" s="287"/>
      <c r="G293" s="1357" t="s">
        <v>1283</v>
      </c>
      <c r="H293" s="1358"/>
      <c r="I293" s="1358"/>
      <c r="J293" s="1358"/>
      <c r="K293" s="1358"/>
      <c r="L293" s="803"/>
      <c r="M293" s="803"/>
      <c r="N293" s="1353">
        <v>8000000</v>
      </c>
      <c r="O293" s="1353"/>
      <c r="P293" s="1354"/>
    </row>
    <row r="294" spans="1:16" ht="30" customHeight="1" hidden="1">
      <c r="A294" s="25"/>
      <c r="B294" s="27"/>
      <c r="C294" s="27"/>
      <c r="D294" s="646"/>
      <c r="E294" s="646"/>
      <c r="F294" s="287"/>
      <c r="G294" s="1357"/>
      <c r="H294" s="1358"/>
      <c r="I294" s="1358"/>
      <c r="J294" s="803"/>
      <c r="K294" s="803"/>
      <c r="L294" s="803"/>
      <c r="M294" s="803"/>
      <c r="N294" s="1353"/>
      <c r="O294" s="1353"/>
      <c r="P294" s="1354"/>
    </row>
    <row r="295" spans="1:16" ht="30" customHeight="1">
      <c r="A295" s="25"/>
      <c r="B295" s="27"/>
      <c r="C295" s="27"/>
      <c r="D295" s="646"/>
      <c r="E295" s="646"/>
      <c r="F295" s="287"/>
      <c r="G295" s="1357" t="s">
        <v>383</v>
      </c>
      <c r="H295" s="1358"/>
      <c r="I295" s="1358"/>
      <c r="J295" s="803"/>
      <c r="K295" s="803"/>
      <c r="L295" s="803"/>
      <c r="M295" s="803"/>
      <c r="N295" s="1353">
        <f>SUM(N292:P294)</f>
        <v>10000000</v>
      </c>
      <c r="O295" s="1353"/>
      <c r="P295" s="1354"/>
    </row>
    <row r="296" spans="1:16" ht="26.25" customHeight="1">
      <c r="A296" s="25"/>
      <c r="B296" s="27"/>
      <c r="C296" s="27"/>
      <c r="D296" s="646"/>
      <c r="E296" s="646"/>
      <c r="F296" s="287"/>
      <c r="G296" s="1357" t="s">
        <v>350</v>
      </c>
      <c r="H296" s="1358"/>
      <c r="I296" s="1358"/>
      <c r="J296" s="803"/>
      <c r="K296" s="803"/>
      <c r="L296" s="803"/>
      <c r="M296" s="803"/>
      <c r="N296" s="1351" t="s">
        <v>351</v>
      </c>
      <c r="O296" s="1351"/>
      <c r="P296" s="1352"/>
    </row>
    <row r="297" spans="1:16" ht="26.25" customHeight="1">
      <c r="A297" s="25"/>
      <c r="B297" s="27"/>
      <c r="C297" s="27"/>
      <c r="D297" s="646"/>
      <c r="E297" s="646"/>
      <c r="F297" s="287"/>
      <c r="G297" s="1373" t="s">
        <v>393</v>
      </c>
      <c r="H297" s="1374"/>
      <c r="I297" s="1374"/>
      <c r="J297" s="1374"/>
      <c r="K297" s="1374"/>
      <c r="L297" s="1374"/>
      <c r="M297" s="1374"/>
      <c r="N297" s="1353">
        <v>6000000</v>
      </c>
      <c r="O297" s="1353"/>
      <c r="P297" s="1354"/>
    </row>
    <row r="298" spans="1:16" ht="26.25" customHeight="1">
      <c r="A298" s="25"/>
      <c r="B298" s="27"/>
      <c r="C298" s="27"/>
      <c r="D298" s="646"/>
      <c r="E298" s="646"/>
      <c r="F298" s="287"/>
      <c r="G298" s="1357" t="s">
        <v>1054</v>
      </c>
      <c r="H298" s="1358"/>
      <c r="I298" s="1358"/>
      <c r="J298" s="1358"/>
      <c r="K298" s="1358"/>
      <c r="L298" s="1358"/>
      <c r="M298" s="1358"/>
      <c r="N298" s="761"/>
      <c r="O298" s="761"/>
      <c r="P298" s="762">
        <v>1200000</v>
      </c>
    </row>
    <row r="299" spans="1:16" ht="26.25" customHeight="1">
      <c r="A299" s="25"/>
      <c r="B299" s="27"/>
      <c r="C299" s="27"/>
      <c r="D299" s="646"/>
      <c r="E299" s="646"/>
      <c r="F299" s="287"/>
      <c r="G299" s="1373" t="s">
        <v>394</v>
      </c>
      <c r="H299" s="1374"/>
      <c r="I299" s="1374"/>
      <c r="J299" s="1374"/>
      <c r="K299" s="1374"/>
      <c r="L299" s="1374"/>
      <c r="M299" s="1374"/>
      <c r="N299" s="1353">
        <v>9000000</v>
      </c>
      <c r="O299" s="1353"/>
      <c r="P299" s="1354"/>
    </row>
    <row r="300" spans="1:16" ht="26.25" customHeight="1">
      <c r="A300" s="25"/>
      <c r="B300" s="27"/>
      <c r="C300" s="27"/>
      <c r="D300" s="646"/>
      <c r="E300" s="646"/>
      <c r="F300" s="287"/>
      <c r="G300" s="1357" t="s">
        <v>1050</v>
      </c>
      <c r="H300" s="1358"/>
      <c r="I300" s="1358"/>
      <c r="J300" s="1358"/>
      <c r="K300" s="1358"/>
      <c r="L300" s="1358"/>
      <c r="M300" s="1358"/>
      <c r="N300" s="1353">
        <v>7000000</v>
      </c>
      <c r="O300" s="1353"/>
      <c r="P300" s="1354"/>
    </row>
    <row r="301" spans="1:16" ht="26.25" customHeight="1">
      <c r="A301" s="25"/>
      <c r="B301" s="27"/>
      <c r="C301" s="27"/>
      <c r="D301" s="646"/>
      <c r="E301" s="646"/>
      <c r="F301" s="287"/>
      <c r="G301" s="1357" t="s">
        <v>1051</v>
      </c>
      <c r="H301" s="1358"/>
      <c r="I301" s="1358"/>
      <c r="J301" s="1358"/>
      <c r="K301" s="1358"/>
      <c r="L301" s="1358"/>
      <c r="M301" s="1358"/>
      <c r="N301" s="761"/>
      <c r="O301" s="761"/>
      <c r="P301" s="762">
        <f>2100000+690000</f>
        <v>2790000</v>
      </c>
    </row>
    <row r="302" spans="1:16" ht="26.25" customHeight="1">
      <c r="A302" s="25"/>
      <c r="B302" s="27"/>
      <c r="C302" s="27"/>
      <c r="D302" s="646"/>
      <c r="E302" s="646"/>
      <c r="F302" s="287"/>
      <c r="G302" s="1357" t="s">
        <v>1052</v>
      </c>
      <c r="H302" s="1358"/>
      <c r="I302" s="1358"/>
      <c r="J302" s="1358"/>
      <c r="K302" s="1358"/>
      <c r="L302" s="1358"/>
      <c r="M302" s="1358"/>
      <c r="N302" s="761"/>
      <c r="O302" s="761"/>
      <c r="P302" s="762">
        <v>2180000</v>
      </c>
    </row>
    <row r="303" spans="1:16" ht="26.25" customHeight="1">
      <c r="A303" s="25"/>
      <c r="B303" s="27"/>
      <c r="C303" s="27"/>
      <c r="D303" s="646"/>
      <c r="E303" s="646"/>
      <c r="F303" s="287"/>
      <c r="G303" s="1357" t="s">
        <v>1053</v>
      </c>
      <c r="H303" s="1358"/>
      <c r="I303" s="1358"/>
      <c r="J303" s="1358"/>
      <c r="K303" s="1358"/>
      <c r="L303" s="1358"/>
      <c r="M303" s="1358"/>
      <c r="N303" s="761"/>
      <c r="O303" s="761"/>
      <c r="P303" s="762">
        <v>2830000</v>
      </c>
    </row>
    <row r="304" spans="1:16" ht="26.25" customHeight="1">
      <c r="A304" s="25"/>
      <c r="B304" s="27"/>
      <c r="C304" s="27"/>
      <c r="D304" s="646"/>
      <c r="E304" s="646"/>
      <c r="F304" s="287"/>
      <c r="G304" s="1373" t="s">
        <v>1284</v>
      </c>
      <c r="H304" s="1374"/>
      <c r="I304" s="1374"/>
      <c r="J304" s="1374"/>
      <c r="K304" s="1374"/>
      <c r="L304" s="1374"/>
      <c r="M304" s="1374"/>
      <c r="N304" s="1353">
        <v>9899000</v>
      </c>
      <c r="O304" s="1353"/>
      <c r="P304" s="1354"/>
    </row>
    <row r="305" spans="1:16" ht="26.25" customHeight="1">
      <c r="A305" s="25"/>
      <c r="B305" s="27"/>
      <c r="C305" s="27"/>
      <c r="D305" s="646"/>
      <c r="E305" s="646"/>
      <c r="F305" s="287"/>
      <c r="G305" s="781" t="s">
        <v>359</v>
      </c>
      <c r="H305" s="759"/>
      <c r="I305" s="759"/>
      <c r="J305" s="759"/>
      <c r="K305" s="759"/>
      <c r="L305" s="759"/>
      <c r="M305" s="760" t="s">
        <v>351</v>
      </c>
      <c r="N305" s="1351">
        <f>SUM(N297:P304)</f>
        <v>40899000</v>
      </c>
      <c r="O305" s="1351"/>
      <c r="P305" s="1352"/>
    </row>
    <row r="306" spans="1:16" ht="26.25" customHeight="1">
      <c r="A306" s="25"/>
      <c r="B306" s="27"/>
      <c r="C306" s="306"/>
      <c r="D306" s="650"/>
      <c r="E306" s="650"/>
      <c r="F306" s="294"/>
      <c r="G306" s="791" t="s">
        <v>249</v>
      </c>
      <c r="H306" s="791"/>
      <c r="I306" s="791"/>
      <c r="J306" s="791"/>
      <c r="K306" s="791"/>
      <c r="L306" s="791"/>
      <c r="M306" s="1143" t="s">
        <v>120</v>
      </c>
      <c r="N306" s="1378">
        <f>SUM(N295+N305)</f>
        <v>50899000</v>
      </c>
      <c r="O306" s="1378"/>
      <c r="P306" s="1379"/>
    </row>
    <row r="307" spans="1:16" ht="25.5" customHeight="1">
      <c r="A307" s="25"/>
      <c r="B307" s="27"/>
      <c r="C307" s="27">
        <v>4232</v>
      </c>
      <c r="D307" s="646"/>
      <c r="E307" s="646"/>
      <c r="F307" s="287"/>
      <c r="G307" s="640"/>
      <c r="H307" s="774"/>
      <c r="I307" s="774"/>
      <c r="J307" s="774"/>
      <c r="K307" s="774"/>
      <c r="L307" s="774"/>
      <c r="M307" s="760"/>
      <c r="N307" s="761"/>
      <c r="O307" s="761"/>
      <c r="P307" s="762"/>
    </row>
    <row r="308" spans="1:16" ht="27" customHeight="1">
      <c r="A308" s="25"/>
      <c r="B308" s="27"/>
      <c r="C308" s="27" t="s">
        <v>268</v>
      </c>
      <c r="D308" s="646">
        <v>47129</v>
      </c>
      <c r="E308" s="655">
        <v>968200</v>
      </c>
      <c r="F308" s="287">
        <f>D308-E308</f>
        <v>-921071</v>
      </c>
      <c r="G308" s="781" t="s">
        <v>885</v>
      </c>
      <c r="H308" s="773"/>
      <c r="I308" s="773"/>
      <c r="J308" s="773"/>
      <c r="K308" s="782"/>
      <c r="L308" s="1361"/>
      <c r="M308" s="1361"/>
      <c r="N308" s="1353"/>
      <c r="O308" s="1353"/>
      <c r="P308" s="1354"/>
    </row>
    <row r="309" spans="1:16" ht="27" customHeight="1">
      <c r="A309" s="25"/>
      <c r="B309" s="27"/>
      <c r="C309" s="27"/>
      <c r="D309" s="646"/>
      <c r="E309" s="646"/>
      <c r="F309" s="287"/>
      <c r="G309" s="1357" t="s">
        <v>924</v>
      </c>
      <c r="H309" s="1358"/>
      <c r="I309" s="1358"/>
      <c r="J309" s="1358"/>
      <c r="K309" s="1358"/>
      <c r="L309" s="1358"/>
      <c r="M309" s="803"/>
      <c r="N309" s="1353">
        <v>10000000</v>
      </c>
      <c r="O309" s="1353"/>
      <c r="P309" s="1354"/>
    </row>
    <row r="310" spans="1:16" ht="27" customHeight="1">
      <c r="A310" s="25"/>
      <c r="B310" s="27"/>
      <c r="C310" s="27"/>
      <c r="D310" s="646"/>
      <c r="E310" s="646"/>
      <c r="F310" s="287"/>
      <c r="G310" s="1357" t="s">
        <v>925</v>
      </c>
      <c r="H310" s="1358"/>
      <c r="I310" s="1358"/>
      <c r="J310" s="1358"/>
      <c r="K310" s="1358"/>
      <c r="L310" s="1358"/>
      <c r="M310" s="803"/>
      <c r="N310" s="1353">
        <v>6129000</v>
      </c>
      <c r="O310" s="1353"/>
      <c r="P310" s="1354"/>
    </row>
    <row r="311" spans="1:16" ht="27" customHeight="1">
      <c r="A311" s="25"/>
      <c r="B311" s="27"/>
      <c r="C311" s="27"/>
      <c r="D311" s="646"/>
      <c r="E311" s="646"/>
      <c r="F311" s="287"/>
      <c r="G311" s="1357" t="s">
        <v>923</v>
      </c>
      <c r="H311" s="1358"/>
      <c r="I311" s="1358"/>
      <c r="J311" s="1358"/>
      <c r="K311" s="1358"/>
      <c r="L311" s="1358"/>
      <c r="M311" s="803"/>
      <c r="N311" s="1353">
        <f>SUM(N308:P310)</f>
        <v>16129000</v>
      </c>
      <c r="O311" s="1353"/>
      <c r="P311" s="1354"/>
    </row>
    <row r="312" spans="1:16" ht="27" customHeight="1">
      <c r="A312" s="25"/>
      <c r="B312" s="27"/>
      <c r="C312" s="27"/>
      <c r="D312" s="646"/>
      <c r="E312" s="646"/>
      <c r="F312" s="287"/>
      <c r="G312" s="1357" t="s">
        <v>148</v>
      </c>
      <c r="H312" s="1358"/>
      <c r="I312" s="1358"/>
      <c r="J312" s="1358"/>
      <c r="K312" s="1358"/>
      <c r="L312" s="1358"/>
      <c r="M312" s="803"/>
      <c r="N312" s="1351" t="s">
        <v>120</v>
      </c>
      <c r="O312" s="1351"/>
      <c r="P312" s="1352"/>
    </row>
    <row r="313" spans="1:16" ht="27" customHeight="1" hidden="1">
      <c r="A313" s="25"/>
      <c r="B313" s="27"/>
      <c r="C313" s="27"/>
      <c r="D313" s="646"/>
      <c r="E313" s="646"/>
      <c r="F313" s="287"/>
      <c r="G313" s="773"/>
      <c r="H313" s="773"/>
      <c r="I313" s="773"/>
      <c r="J313" s="773"/>
      <c r="K313" s="782"/>
      <c r="L313" s="1361"/>
      <c r="M313" s="1361"/>
      <c r="N313" s="1353"/>
      <c r="O313" s="1353"/>
      <c r="P313" s="1354"/>
    </row>
    <row r="314" spans="1:16" ht="27" customHeight="1">
      <c r="A314" s="25"/>
      <c r="B314" s="27"/>
      <c r="C314" s="27"/>
      <c r="D314" s="646"/>
      <c r="E314" s="646"/>
      <c r="F314" s="287"/>
      <c r="G314" s="773" t="s">
        <v>631</v>
      </c>
      <c r="H314" s="773"/>
      <c r="I314" s="773"/>
      <c r="J314" s="773"/>
      <c r="K314" s="782"/>
      <c r="L314" s="795"/>
      <c r="M314" s="795"/>
      <c r="N314" s="761"/>
      <c r="O314" s="761"/>
      <c r="P314" s="762">
        <v>3000000</v>
      </c>
    </row>
    <row r="315" spans="1:16" ht="27" customHeight="1">
      <c r="A315" s="25"/>
      <c r="B315" s="27"/>
      <c r="C315" s="27"/>
      <c r="D315" s="646"/>
      <c r="E315" s="646"/>
      <c r="F315" s="287"/>
      <c r="G315" s="773" t="s">
        <v>636</v>
      </c>
      <c r="H315" s="773"/>
      <c r="I315" s="773"/>
      <c r="J315" s="773"/>
      <c r="K315" s="782"/>
      <c r="L315" s="795"/>
      <c r="M315" s="795"/>
      <c r="N315" s="761"/>
      <c r="O315" s="761"/>
      <c r="P315" s="762">
        <v>8000000</v>
      </c>
    </row>
    <row r="316" spans="1:16" ht="27" customHeight="1">
      <c r="A316" s="25"/>
      <c r="B316" s="27"/>
      <c r="C316" s="27"/>
      <c r="D316" s="646"/>
      <c r="E316" s="646"/>
      <c r="F316" s="287"/>
      <c r="G316" s="1373" t="s">
        <v>1285</v>
      </c>
      <c r="H316" s="1374"/>
      <c r="I316" s="1374"/>
      <c r="J316" s="1374"/>
      <c r="K316" s="1374"/>
      <c r="L316" s="1374"/>
      <c r="M316" s="1374"/>
      <c r="N316" s="1353">
        <v>20000000</v>
      </c>
      <c r="O316" s="1353"/>
      <c r="P316" s="1354"/>
    </row>
    <row r="317" spans="1:16" ht="27" customHeight="1">
      <c r="A317" s="25"/>
      <c r="B317" s="27"/>
      <c r="C317" s="27"/>
      <c r="D317" s="646"/>
      <c r="E317" s="646"/>
      <c r="F317" s="287"/>
      <c r="G317" s="781" t="s">
        <v>359</v>
      </c>
      <c r="H317" s="803"/>
      <c r="I317" s="803"/>
      <c r="J317" s="803"/>
      <c r="K317" s="803"/>
      <c r="L317" s="803"/>
      <c r="M317" s="803"/>
      <c r="N317" s="761"/>
      <c r="O317" s="761"/>
      <c r="P317" s="762">
        <f>SUM(N313:P316)</f>
        <v>31000000</v>
      </c>
    </row>
    <row r="318" spans="1:16" ht="27" customHeight="1">
      <c r="A318" s="25"/>
      <c r="B318" s="27"/>
      <c r="C318" s="24"/>
      <c r="D318" s="645"/>
      <c r="E318" s="645"/>
      <c r="F318" s="286"/>
      <c r="G318" s="756" t="s">
        <v>4</v>
      </c>
      <c r="H318" s="800"/>
      <c r="I318" s="756"/>
      <c r="J318" s="756"/>
      <c r="K318" s="756"/>
      <c r="L318" s="756"/>
      <c r="M318" s="756"/>
      <c r="N318" s="1375">
        <f>SUM(N311+P317)</f>
        <v>47129000</v>
      </c>
      <c r="O318" s="1375"/>
      <c r="P318" s="1376"/>
    </row>
    <row r="319" spans="1:16" ht="30" customHeight="1">
      <c r="A319" s="25"/>
      <c r="B319" s="27"/>
      <c r="C319" s="27">
        <v>4233</v>
      </c>
      <c r="D319" s="646"/>
      <c r="E319" s="646"/>
      <c r="F319" s="287"/>
      <c r="G319" s="640"/>
      <c r="H319" s="774"/>
      <c r="I319" s="774"/>
      <c r="J319" s="774"/>
      <c r="K319" s="774"/>
      <c r="L319" s="774"/>
      <c r="M319" s="760"/>
      <c r="N319" s="761"/>
      <c r="O319" s="761"/>
      <c r="P319" s="762"/>
    </row>
    <row r="320" spans="1:16" ht="30" customHeight="1">
      <c r="A320" s="25"/>
      <c r="B320" s="27"/>
      <c r="C320" s="27" t="s">
        <v>269</v>
      </c>
      <c r="D320" s="653">
        <v>98326</v>
      </c>
      <c r="E320" s="653">
        <v>332000</v>
      </c>
      <c r="F320" s="287">
        <f>D320-E320</f>
        <v>-233674</v>
      </c>
      <c r="G320" s="781" t="s">
        <v>6</v>
      </c>
      <c r="H320" s="805"/>
      <c r="I320" s="805"/>
      <c r="J320" s="805"/>
      <c r="K320" s="805"/>
      <c r="L320" s="805"/>
      <c r="M320" s="805"/>
      <c r="N320" s="805"/>
      <c r="O320" s="805"/>
      <c r="P320" s="804"/>
    </row>
    <row r="321" spans="1:16" ht="30" customHeight="1">
      <c r="A321" s="25"/>
      <c r="B321" s="27"/>
      <c r="C321" s="27"/>
      <c r="D321" s="653"/>
      <c r="E321" s="653"/>
      <c r="F321" s="287"/>
      <c r="G321" s="781" t="s">
        <v>1055</v>
      </c>
      <c r="H321" s="773"/>
      <c r="I321" s="773"/>
      <c r="J321" s="773"/>
      <c r="K321" s="782"/>
      <c r="L321" s="1361"/>
      <c r="M321" s="1361"/>
      <c r="N321" s="1353">
        <v>98326000</v>
      </c>
      <c r="O321" s="1353"/>
      <c r="P321" s="1354"/>
    </row>
    <row r="322" spans="1:16" ht="30" customHeight="1">
      <c r="A322" s="25"/>
      <c r="B322" s="27"/>
      <c r="C322" s="27"/>
      <c r="D322" s="653"/>
      <c r="E322" s="653"/>
      <c r="F322" s="287"/>
      <c r="G322" s="777" t="s">
        <v>632</v>
      </c>
      <c r="H322" s="803"/>
      <c r="I322" s="773"/>
      <c r="J322" s="773"/>
      <c r="K322" s="782"/>
      <c r="L322" s="795"/>
      <c r="M322" s="795"/>
      <c r="N322" s="761"/>
      <c r="O322" s="761"/>
      <c r="P322" s="762">
        <f>SUM(N321)</f>
        <v>98326000</v>
      </c>
    </row>
    <row r="323" spans="1:16" ht="23.25" customHeight="1">
      <c r="A323" s="25"/>
      <c r="B323" s="27"/>
      <c r="C323" s="28">
        <v>4234</v>
      </c>
      <c r="D323" s="647"/>
      <c r="E323" s="647"/>
      <c r="F323" s="288"/>
      <c r="H323" s="769"/>
      <c r="I323" s="769"/>
      <c r="J323" s="769"/>
      <c r="K323" s="769"/>
      <c r="L323" s="769"/>
      <c r="M323" s="769"/>
      <c r="N323" s="798"/>
      <c r="O323" s="1362" t="s">
        <v>120</v>
      </c>
      <c r="P323" s="1363"/>
    </row>
    <row r="324" spans="1:16" ht="32.25" customHeight="1">
      <c r="A324" s="25"/>
      <c r="B324" s="27"/>
      <c r="C324" s="27" t="s">
        <v>270</v>
      </c>
      <c r="D324" s="646">
        <v>242646</v>
      </c>
      <c r="E324" s="655">
        <v>499000</v>
      </c>
      <c r="F324" s="287">
        <f>D324-E324</f>
        <v>-256354</v>
      </c>
      <c r="G324" s="781" t="s">
        <v>885</v>
      </c>
      <c r="H324" s="667"/>
      <c r="I324" s="667"/>
      <c r="J324" s="667"/>
      <c r="K324" s="667"/>
      <c r="L324" s="667"/>
      <c r="M324" s="667"/>
      <c r="N324" s="1359" t="s">
        <v>887</v>
      </c>
      <c r="O324" s="1359"/>
      <c r="P324" s="1360"/>
    </row>
    <row r="325" spans="1:16" ht="32.25" customHeight="1">
      <c r="A325" s="25"/>
      <c r="B325" s="27"/>
      <c r="C325" s="27"/>
      <c r="D325" s="646"/>
      <c r="E325" s="646"/>
      <c r="F325" s="287"/>
      <c r="G325" s="776" t="s">
        <v>926</v>
      </c>
      <c r="H325" s="774"/>
      <c r="I325" s="805"/>
      <c r="J325" s="774"/>
      <c r="K325" s="774"/>
      <c r="L325" s="774"/>
      <c r="M325" s="774"/>
      <c r="N325" s="793"/>
      <c r="O325" s="1359">
        <v>70000000</v>
      </c>
      <c r="P325" s="1360"/>
    </row>
    <row r="326" spans="1:16" ht="32.25" customHeight="1">
      <c r="A326" s="25"/>
      <c r="B326" s="27"/>
      <c r="C326" s="27"/>
      <c r="D326" s="646"/>
      <c r="E326" s="646"/>
      <c r="F326" s="287"/>
      <c r="G326" s="781" t="s">
        <v>148</v>
      </c>
      <c r="H326" s="774"/>
      <c r="I326" s="774"/>
      <c r="J326" s="774"/>
      <c r="K326" s="774"/>
      <c r="L326" s="774"/>
      <c r="M326" s="774"/>
      <c r="N326" s="1041"/>
      <c r="O326" s="1041"/>
      <c r="P326" s="1042"/>
    </row>
    <row r="327" spans="1:16" ht="32.25" customHeight="1">
      <c r="A327" s="25"/>
      <c r="B327" s="27"/>
      <c r="C327" s="27"/>
      <c r="D327" s="646"/>
      <c r="E327" s="646"/>
      <c r="F327" s="287"/>
      <c r="G327" s="773" t="s">
        <v>85</v>
      </c>
      <c r="H327" s="773"/>
      <c r="I327" s="773"/>
      <c r="J327" s="773"/>
      <c r="K327" s="782"/>
      <c r="L327" s="1361"/>
      <c r="M327" s="1361"/>
      <c r="N327" s="1353">
        <v>172646000</v>
      </c>
      <c r="O327" s="1353"/>
      <c r="P327" s="1354"/>
    </row>
    <row r="328" spans="1:16" ht="32.25" customHeight="1">
      <c r="A328" s="25"/>
      <c r="B328" s="27"/>
      <c r="C328" s="306"/>
      <c r="D328" s="650"/>
      <c r="E328" s="650"/>
      <c r="F328" s="294"/>
      <c r="G328" s="791" t="s">
        <v>4</v>
      </c>
      <c r="H328" s="806"/>
      <c r="I328" s="806"/>
      <c r="J328" s="806"/>
      <c r="K328" s="1138"/>
      <c r="L328" s="1138"/>
      <c r="M328" s="1138"/>
      <c r="N328" s="1375">
        <f>O325+N327</f>
        <v>242646000</v>
      </c>
      <c r="O328" s="1375"/>
      <c r="P328" s="1376"/>
    </row>
    <row r="329" spans="1:16" ht="30" customHeight="1">
      <c r="A329" s="25"/>
      <c r="B329" s="27"/>
      <c r="C329" s="27">
        <v>4235</v>
      </c>
      <c r="D329" s="646"/>
      <c r="E329" s="646"/>
      <c r="F329" s="287"/>
      <c r="G329" s="667"/>
      <c r="H329" s="774"/>
      <c r="I329" s="774"/>
      <c r="J329" s="774"/>
      <c r="K329" s="774"/>
      <c r="L329" s="774"/>
      <c r="M329" s="774"/>
      <c r="N329" s="793"/>
      <c r="O329" s="774"/>
      <c r="P329" s="807"/>
    </row>
    <row r="330" spans="1:16" ht="30" customHeight="1">
      <c r="A330" s="25"/>
      <c r="B330" s="27"/>
      <c r="C330" s="27" t="s">
        <v>271</v>
      </c>
      <c r="D330" s="646">
        <v>455849</v>
      </c>
      <c r="E330" s="655">
        <v>380500</v>
      </c>
      <c r="F330" s="287">
        <f>D330-E330</f>
        <v>75349</v>
      </c>
      <c r="G330" s="781" t="s">
        <v>928</v>
      </c>
      <c r="H330" s="796"/>
      <c r="I330" s="759"/>
      <c r="J330" s="759"/>
      <c r="K330" s="759"/>
      <c r="L330" s="759"/>
      <c r="M330" s="759"/>
      <c r="N330" s="1351" t="s">
        <v>887</v>
      </c>
      <c r="O330" s="1351"/>
      <c r="P330" s="1352"/>
    </row>
    <row r="331" spans="1:16" ht="30" customHeight="1">
      <c r="A331" s="25"/>
      <c r="B331" s="27"/>
      <c r="C331" s="27"/>
      <c r="D331" s="646"/>
      <c r="E331" s="646"/>
      <c r="F331" s="287"/>
      <c r="G331" s="781" t="s">
        <v>929</v>
      </c>
      <c r="H331" s="796"/>
      <c r="I331" s="759"/>
      <c r="J331" s="759"/>
      <c r="K331" s="759"/>
      <c r="L331" s="759"/>
      <c r="M331" s="759"/>
      <c r="N331" s="761"/>
      <c r="O331" s="1359">
        <v>200000</v>
      </c>
      <c r="P331" s="1360"/>
    </row>
    <row r="332" spans="1:16" ht="30" customHeight="1">
      <c r="A332" s="25"/>
      <c r="B332" s="27"/>
      <c r="C332" s="27"/>
      <c r="D332" s="646"/>
      <c r="E332" s="646"/>
      <c r="F332" s="287"/>
      <c r="G332" s="759" t="s">
        <v>927</v>
      </c>
      <c r="H332" s="796"/>
      <c r="I332" s="759"/>
      <c r="J332" s="759"/>
      <c r="K332" s="759"/>
      <c r="L332" s="759"/>
      <c r="M332" s="759"/>
      <c r="N332" s="761"/>
      <c r="O332" s="1359">
        <f>SUM(O331)</f>
        <v>200000</v>
      </c>
      <c r="P332" s="1360"/>
    </row>
    <row r="333" spans="1:16" ht="30" customHeight="1">
      <c r="A333" s="25"/>
      <c r="B333" s="27"/>
      <c r="C333" s="27"/>
      <c r="D333" s="646"/>
      <c r="E333" s="646"/>
      <c r="F333" s="287"/>
      <c r="G333" s="781" t="s">
        <v>6</v>
      </c>
      <c r="H333" s="796"/>
      <c r="I333" s="759"/>
      <c r="J333" s="759"/>
      <c r="K333" s="759"/>
      <c r="L333" s="759"/>
      <c r="M333" s="759"/>
      <c r="N333" s="760"/>
      <c r="O333" s="760"/>
      <c r="P333" s="788"/>
    </row>
    <row r="334" spans="1:16" ht="30" customHeight="1">
      <c r="A334" s="25"/>
      <c r="B334" s="27"/>
      <c r="C334" s="27"/>
      <c r="D334" s="646"/>
      <c r="E334" s="646"/>
      <c r="F334" s="287"/>
      <c r="G334" s="776" t="s">
        <v>395</v>
      </c>
      <c r="H334" s="773"/>
      <c r="I334" s="773"/>
      <c r="J334" s="773"/>
      <c r="K334" s="773"/>
      <c r="L334" s="773"/>
      <c r="M334" s="773"/>
      <c r="N334" s="1353">
        <v>15000000</v>
      </c>
      <c r="O334" s="1353"/>
      <c r="P334" s="1354"/>
    </row>
    <row r="335" spans="1:16" ht="30" customHeight="1">
      <c r="A335" s="25"/>
      <c r="B335" s="27"/>
      <c r="C335" s="27"/>
      <c r="D335" s="646"/>
      <c r="E335" s="646"/>
      <c r="F335" s="287"/>
      <c r="G335" s="773" t="s">
        <v>657</v>
      </c>
      <c r="H335" s="773"/>
      <c r="I335" s="773"/>
      <c r="J335" s="773"/>
      <c r="K335" s="773"/>
      <c r="L335" s="773"/>
      <c r="M335" s="773"/>
      <c r="N335" s="1353">
        <v>25000000</v>
      </c>
      <c r="O335" s="1353"/>
      <c r="P335" s="1354"/>
    </row>
    <row r="336" spans="1:16" ht="30" customHeight="1">
      <c r="A336" s="25"/>
      <c r="B336" s="27"/>
      <c r="C336" s="27"/>
      <c r="D336" s="646"/>
      <c r="E336" s="646"/>
      <c r="F336" s="287"/>
      <c r="G336" s="773" t="s">
        <v>1059</v>
      </c>
      <c r="H336" s="773"/>
      <c r="I336" s="773"/>
      <c r="J336" s="773"/>
      <c r="K336" s="773"/>
      <c r="L336" s="773"/>
      <c r="M336" s="773"/>
      <c r="N336" s="761"/>
      <c r="O336" s="761"/>
      <c r="P336" s="762">
        <v>125000000</v>
      </c>
    </row>
    <row r="337" spans="1:16" ht="30" customHeight="1">
      <c r="A337" s="25"/>
      <c r="B337" s="27"/>
      <c r="C337" s="27"/>
      <c r="D337" s="646"/>
      <c r="E337" s="646"/>
      <c r="F337" s="287"/>
      <c r="G337" s="781" t="s">
        <v>1056</v>
      </c>
      <c r="H337" s="796"/>
      <c r="I337" s="759"/>
      <c r="J337" s="759"/>
      <c r="K337" s="759"/>
      <c r="L337" s="759"/>
      <c r="M337" s="759"/>
      <c r="N337" s="1353">
        <v>190000000</v>
      </c>
      <c r="O337" s="1353"/>
      <c r="P337" s="1354"/>
    </row>
    <row r="338" spans="1:16" ht="30" customHeight="1" hidden="1">
      <c r="A338" s="25"/>
      <c r="B338" s="27"/>
      <c r="C338" s="27"/>
      <c r="D338" s="646"/>
      <c r="E338" s="646"/>
      <c r="F338" s="287"/>
      <c r="G338" s="781"/>
      <c r="H338" s="796"/>
      <c r="I338" s="759"/>
      <c r="J338" s="759"/>
      <c r="K338" s="759"/>
      <c r="L338" s="759"/>
      <c r="M338" s="759"/>
      <c r="N338" s="1353"/>
      <c r="O338" s="1353"/>
      <c r="P338" s="1354"/>
    </row>
    <row r="339" spans="1:16" ht="30" customHeight="1">
      <c r="A339" s="25"/>
      <c r="B339" s="27"/>
      <c r="C339" s="27"/>
      <c r="D339" s="646"/>
      <c r="E339" s="646"/>
      <c r="F339" s="287"/>
      <c r="G339" s="781" t="s">
        <v>396</v>
      </c>
      <c r="H339" s="796"/>
      <c r="I339" s="759"/>
      <c r="J339" s="759"/>
      <c r="K339" s="759"/>
      <c r="L339" s="759"/>
      <c r="M339" s="759"/>
      <c r="N339" s="1353">
        <v>5000000</v>
      </c>
      <c r="O339" s="1353"/>
      <c r="P339" s="1354"/>
    </row>
    <row r="340" spans="1:16" ht="30" customHeight="1">
      <c r="A340" s="25"/>
      <c r="B340" s="27"/>
      <c r="C340" s="27"/>
      <c r="D340" s="646"/>
      <c r="E340" s="646"/>
      <c r="F340" s="287"/>
      <c r="G340" s="781" t="s">
        <v>1157</v>
      </c>
      <c r="H340" s="796"/>
      <c r="I340" s="759"/>
      <c r="J340" s="759"/>
      <c r="K340" s="759"/>
      <c r="L340" s="759"/>
      <c r="M340" s="759"/>
      <c r="N340" s="761"/>
      <c r="O340" s="761"/>
      <c r="P340" s="762">
        <v>5000000</v>
      </c>
    </row>
    <row r="341" spans="1:16" ht="30" customHeight="1">
      <c r="A341" s="25"/>
      <c r="B341" s="27"/>
      <c r="C341" s="27"/>
      <c r="D341" s="646"/>
      <c r="E341" s="646"/>
      <c r="F341" s="287"/>
      <c r="G341" s="781" t="s">
        <v>397</v>
      </c>
      <c r="H341" s="796"/>
      <c r="I341" s="759"/>
      <c r="J341" s="759"/>
      <c r="K341" s="759"/>
      <c r="L341" s="759"/>
      <c r="M341" s="759"/>
      <c r="N341" s="1353">
        <v>5000000</v>
      </c>
      <c r="O341" s="1353"/>
      <c r="P341" s="1354"/>
    </row>
    <row r="342" spans="1:16" ht="30" customHeight="1">
      <c r="A342" s="25"/>
      <c r="B342" s="325"/>
      <c r="C342" s="325"/>
      <c r="D342" s="946"/>
      <c r="E342" s="946"/>
      <c r="F342" s="326"/>
      <c r="G342" s="781" t="s">
        <v>1058</v>
      </c>
      <c r="H342" s="796"/>
      <c r="I342" s="759"/>
      <c r="J342" s="759"/>
      <c r="K342" s="759"/>
      <c r="L342" s="759"/>
      <c r="M342" s="759"/>
      <c r="N342" s="1353">
        <v>85649000</v>
      </c>
      <c r="O342" s="1353"/>
      <c r="P342" s="1354"/>
    </row>
    <row r="343" spans="1:16" ht="30" customHeight="1">
      <c r="A343" s="25"/>
      <c r="B343" s="27"/>
      <c r="C343" s="27"/>
      <c r="D343" s="646"/>
      <c r="E343" s="646"/>
      <c r="F343" s="287"/>
      <c r="G343" s="781" t="s">
        <v>359</v>
      </c>
      <c r="H343" s="773"/>
      <c r="I343" s="759"/>
      <c r="J343" s="759"/>
      <c r="K343" s="759"/>
      <c r="L343" s="759"/>
      <c r="M343" s="759"/>
      <c r="N343" s="761"/>
      <c r="O343" s="761"/>
      <c r="P343" s="762">
        <f>SUM(N334:P342)</f>
        <v>455649000</v>
      </c>
    </row>
    <row r="344" spans="1:16" ht="30" customHeight="1">
      <c r="A344" s="25"/>
      <c r="B344" s="27"/>
      <c r="C344" s="24"/>
      <c r="D344" s="645"/>
      <c r="E344" s="645"/>
      <c r="F344" s="286"/>
      <c r="G344" s="777" t="s">
        <v>1057</v>
      </c>
      <c r="H344" s="800"/>
      <c r="I344" s="756"/>
      <c r="J344" s="756"/>
      <c r="K344" s="756"/>
      <c r="L344" s="756"/>
      <c r="M344" s="756"/>
      <c r="N344" s="1375">
        <f>SUM(O332+P343)</f>
        <v>455849000</v>
      </c>
      <c r="O344" s="1375"/>
      <c r="P344" s="1376"/>
    </row>
    <row r="345" spans="1:16" ht="30" customHeight="1">
      <c r="A345" s="25"/>
      <c r="B345" s="27"/>
      <c r="C345" s="27">
        <v>4236</v>
      </c>
      <c r="D345" s="646"/>
      <c r="E345" s="646"/>
      <c r="F345" s="287"/>
      <c r="G345" s="781"/>
      <c r="H345" s="796"/>
      <c r="I345" s="759"/>
      <c r="J345" s="759"/>
      <c r="K345" s="759"/>
      <c r="L345" s="759"/>
      <c r="M345" s="759"/>
      <c r="N345" s="761"/>
      <c r="O345" s="1359"/>
      <c r="P345" s="1360"/>
    </row>
    <row r="346" spans="1:16" ht="30" customHeight="1">
      <c r="A346" s="25"/>
      <c r="B346" s="27"/>
      <c r="C346" s="27" t="s">
        <v>272</v>
      </c>
      <c r="D346" s="646">
        <v>1328</v>
      </c>
      <c r="E346" s="646">
        <v>5000</v>
      </c>
      <c r="F346" s="287">
        <f>D346-E346</f>
        <v>-3672</v>
      </c>
      <c r="G346" s="781" t="s">
        <v>1154</v>
      </c>
      <c r="H346" s="796"/>
      <c r="I346" s="759"/>
      <c r="J346" s="759"/>
      <c r="K346" s="759"/>
      <c r="L346" s="759"/>
      <c r="M346" s="759"/>
      <c r="N346" s="1351"/>
      <c r="O346" s="1351"/>
      <c r="P346" s="1352"/>
    </row>
    <row r="347" spans="1:16" ht="30" customHeight="1">
      <c r="A347" s="25"/>
      <c r="B347" s="27"/>
      <c r="C347" s="27"/>
      <c r="D347" s="646"/>
      <c r="E347" s="646"/>
      <c r="F347" s="287"/>
      <c r="G347" s="781" t="s">
        <v>1155</v>
      </c>
      <c r="H347" s="796"/>
      <c r="I347" s="759"/>
      <c r="J347" s="759"/>
      <c r="K347" s="759"/>
      <c r="L347" s="759"/>
      <c r="M347" s="759"/>
      <c r="N347" s="1351">
        <v>500000</v>
      </c>
      <c r="O347" s="1351"/>
      <c r="P347" s="1352"/>
    </row>
    <row r="348" spans="1:16" ht="30" customHeight="1">
      <c r="A348" s="25"/>
      <c r="B348" s="27"/>
      <c r="C348" s="27"/>
      <c r="D348" s="646"/>
      <c r="E348" s="646"/>
      <c r="F348" s="287"/>
      <c r="G348" s="773" t="s">
        <v>1156</v>
      </c>
      <c r="H348" s="796"/>
      <c r="I348" s="759"/>
      <c r="J348" s="759"/>
      <c r="K348" s="759"/>
      <c r="L348" s="759"/>
      <c r="M348" s="759"/>
      <c r="N348" s="760"/>
      <c r="O348" s="760"/>
      <c r="P348" s="788"/>
    </row>
    <row r="349" spans="1:16" ht="30" customHeight="1">
      <c r="A349" s="25"/>
      <c r="B349" s="27"/>
      <c r="C349" s="27"/>
      <c r="D349" s="646"/>
      <c r="E349" s="646"/>
      <c r="F349" s="287"/>
      <c r="G349" s="796" t="s">
        <v>398</v>
      </c>
      <c r="H349" s="773"/>
      <c r="I349" s="759"/>
      <c r="J349" s="759"/>
      <c r="K349" s="759"/>
      <c r="L349" s="759"/>
      <c r="M349" s="759"/>
      <c r="N349" s="1353">
        <v>828000</v>
      </c>
      <c r="O349" s="1353"/>
      <c r="P349" s="1354"/>
    </row>
    <row r="350" spans="1:16" ht="30" customHeight="1">
      <c r="A350" s="25"/>
      <c r="B350" s="27"/>
      <c r="C350" s="24"/>
      <c r="D350" s="645"/>
      <c r="E350" s="645"/>
      <c r="F350" s="286"/>
      <c r="G350" s="777" t="s">
        <v>1057</v>
      </c>
      <c r="H350" s="800"/>
      <c r="I350" s="756"/>
      <c r="J350" s="756"/>
      <c r="K350" s="756"/>
      <c r="L350" s="756"/>
      <c r="M350" s="756"/>
      <c r="N350" s="1375">
        <f>N347+N349</f>
        <v>1328000</v>
      </c>
      <c r="O350" s="1375"/>
      <c r="P350" s="1376"/>
    </row>
    <row r="351" spans="1:16" ht="27" customHeight="1">
      <c r="A351" s="25"/>
      <c r="B351" s="27"/>
      <c r="C351" s="27">
        <v>4237</v>
      </c>
      <c r="D351" s="646"/>
      <c r="E351" s="646"/>
      <c r="F351" s="287"/>
      <c r="G351" s="776"/>
      <c r="H351" s="759"/>
      <c r="I351" s="759"/>
      <c r="J351" s="759"/>
      <c r="K351" s="759"/>
      <c r="L351" s="759"/>
      <c r="M351" s="759"/>
      <c r="N351" s="761"/>
      <c r="O351" s="761"/>
      <c r="P351" s="762"/>
    </row>
    <row r="352" spans="1:16" ht="30" customHeight="1">
      <c r="A352" s="25"/>
      <c r="B352" s="27"/>
      <c r="C352" s="27" t="s">
        <v>273</v>
      </c>
      <c r="D352" s="646">
        <v>65274</v>
      </c>
      <c r="E352" s="646">
        <v>278000</v>
      </c>
      <c r="F352" s="287">
        <f>D352-E352</f>
        <v>-212726</v>
      </c>
      <c r="G352" s="781" t="s">
        <v>885</v>
      </c>
      <c r="H352" s="773"/>
      <c r="I352" s="773"/>
      <c r="J352" s="773"/>
      <c r="K352" s="773"/>
      <c r="L352" s="773"/>
      <c r="M352" s="773"/>
      <c r="N352" s="1359" t="s">
        <v>887</v>
      </c>
      <c r="O352" s="1359"/>
      <c r="P352" s="1360"/>
    </row>
    <row r="353" spans="1:16" ht="30" customHeight="1">
      <c r="A353" s="25"/>
      <c r="B353" s="27"/>
      <c r="C353" s="27"/>
      <c r="D353" s="646"/>
      <c r="E353" s="646"/>
      <c r="F353" s="287"/>
      <c r="G353" s="773" t="s">
        <v>930</v>
      </c>
      <c r="H353" s="773"/>
      <c r="I353" s="773"/>
      <c r="J353" s="773"/>
      <c r="K353" s="773"/>
      <c r="L353" s="773"/>
      <c r="M353" s="773"/>
      <c r="N353" s="1353">
        <v>11000000</v>
      </c>
      <c r="O353" s="1353"/>
      <c r="P353" s="1354"/>
    </row>
    <row r="354" spans="1:16" ht="30" customHeight="1">
      <c r="A354" s="25"/>
      <c r="B354" s="27"/>
      <c r="C354" s="27"/>
      <c r="D354" s="646"/>
      <c r="E354" s="646"/>
      <c r="F354" s="287"/>
      <c r="G354" s="781" t="s">
        <v>931</v>
      </c>
      <c r="H354" s="796"/>
      <c r="I354" s="759"/>
      <c r="J354" s="759"/>
      <c r="K354" s="759"/>
      <c r="L354" s="759"/>
      <c r="M354" s="759"/>
      <c r="N354" s="1353">
        <v>10000000</v>
      </c>
      <c r="O354" s="1353"/>
      <c r="P354" s="1354"/>
    </row>
    <row r="355" spans="1:16" ht="30" customHeight="1">
      <c r="A355" s="25"/>
      <c r="B355" s="27"/>
      <c r="C355" s="27"/>
      <c r="D355" s="646"/>
      <c r="E355" s="646"/>
      <c r="F355" s="287"/>
      <c r="G355" s="781" t="s">
        <v>932</v>
      </c>
      <c r="H355" s="796"/>
      <c r="I355" s="759"/>
      <c r="J355" s="759"/>
      <c r="K355" s="759"/>
      <c r="L355" s="759"/>
      <c r="M355" s="759"/>
      <c r="N355" s="1353">
        <f>SUM(N353:P354)</f>
        <v>21000000</v>
      </c>
      <c r="O355" s="1353"/>
      <c r="P355" s="1354"/>
    </row>
    <row r="356" spans="1:16" ht="30" customHeight="1">
      <c r="A356" s="25"/>
      <c r="B356" s="27"/>
      <c r="C356" s="27"/>
      <c r="D356" s="646"/>
      <c r="E356" s="646"/>
      <c r="F356" s="287"/>
      <c r="G356" s="781" t="s">
        <v>350</v>
      </c>
      <c r="H356" s="796"/>
      <c r="I356" s="759"/>
      <c r="J356" s="759"/>
      <c r="K356" s="759"/>
      <c r="L356" s="759"/>
      <c r="M356" s="759"/>
      <c r="N356" s="1351" t="s">
        <v>351</v>
      </c>
      <c r="O356" s="1351"/>
      <c r="P356" s="1352"/>
    </row>
    <row r="357" spans="1:16" ht="30" customHeight="1">
      <c r="A357" s="25"/>
      <c r="B357" s="27"/>
      <c r="C357" s="27"/>
      <c r="D357" s="646"/>
      <c r="E357" s="646"/>
      <c r="F357" s="287"/>
      <c r="G357" s="773" t="s">
        <v>399</v>
      </c>
      <c r="I357" s="759"/>
      <c r="J357" s="759"/>
      <c r="K357" s="759"/>
      <c r="L357" s="759"/>
      <c r="M357" s="759"/>
      <c r="N357" s="1353">
        <v>15000000</v>
      </c>
      <c r="O357" s="1353"/>
      <c r="P357" s="1354"/>
    </row>
    <row r="358" spans="1:16" ht="30" customHeight="1">
      <c r="A358" s="25"/>
      <c r="B358" s="27"/>
      <c r="C358" s="27"/>
      <c r="D358" s="646"/>
      <c r="E358" s="646"/>
      <c r="F358" s="287"/>
      <c r="G358" s="773" t="s">
        <v>400</v>
      </c>
      <c r="H358" s="773"/>
      <c r="I358" s="759"/>
      <c r="J358" s="759"/>
      <c r="K358" s="759"/>
      <c r="L358" s="759"/>
      <c r="M358" s="759"/>
      <c r="N358" s="1353">
        <v>1500000</v>
      </c>
      <c r="O358" s="1353"/>
      <c r="P358" s="1354"/>
    </row>
    <row r="359" spans="1:16" ht="30" customHeight="1">
      <c r="A359" s="25"/>
      <c r="B359" s="27"/>
      <c r="C359" s="27"/>
      <c r="D359" s="646"/>
      <c r="E359" s="646"/>
      <c r="F359" s="287"/>
      <c r="G359" s="773" t="s">
        <v>963</v>
      </c>
      <c r="H359" s="773"/>
      <c r="I359" s="759"/>
      <c r="J359" s="759"/>
      <c r="K359" s="759"/>
      <c r="L359" s="759"/>
      <c r="M359" s="759"/>
      <c r="N359" s="1353">
        <v>27774000</v>
      </c>
      <c r="O359" s="1353"/>
      <c r="P359" s="1354"/>
    </row>
    <row r="360" spans="1:16" ht="30" customHeight="1">
      <c r="A360" s="25"/>
      <c r="B360" s="27"/>
      <c r="C360" s="27"/>
      <c r="D360" s="646"/>
      <c r="E360" s="646"/>
      <c r="F360" s="287"/>
      <c r="G360" s="1368" t="s">
        <v>359</v>
      </c>
      <c r="H360" s="1369"/>
      <c r="I360" s="796"/>
      <c r="J360" s="759"/>
      <c r="K360" s="759"/>
      <c r="L360" s="759"/>
      <c r="M360" s="759"/>
      <c r="N360" s="761"/>
      <c r="O360" s="761"/>
      <c r="P360" s="762">
        <f>SUM(N357:P359)</f>
        <v>44274000</v>
      </c>
    </row>
    <row r="361" spans="1:16" ht="30" customHeight="1">
      <c r="A361" s="25"/>
      <c r="B361" s="27"/>
      <c r="C361" s="27"/>
      <c r="D361" s="646"/>
      <c r="E361" s="646"/>
      <c r="F361" s="287"/>
      <c r="G361" s="1386" t="s">
        <v>379</v>
      </c>
      <c r="H361" s="1387"/>
      <c r="I361" s="759"/>
      <c r="J361" s="759"/>
      <c r="K361" s="759"/>
      <c r="L361" s="759" t="s">
        <v>351</v>
      </c>
      <c r="M361" s="756"/>
      <c r="N361" s="1375">
        <f>+N355+P360</f>
        <v>65274000</v>
      </c>
      <c r="O361" s="1375"/>
      <c r="P361" s="1376"/>
    </row>
    <row r="362" spans="1:16" ht="30" customHeight="1">
      <c r="A362" s="25"/>
      <c r="B362" s="27"/>
      <c r="C362" s="28">
        <v>4238</v>
      </c>
      <c r="D362" s="647"/>
      <c r="E362" s="647"/>
      <c r="F362" s="288"/>
      <c r="G362" s="763"/>
      <c r="H362" s="808"/>
      <c r="I362" s="808"/>
      <c r="J362" s="808"/>
      <c r="K362" s="783"/>
      <c r="L362" s="783"/>
      <c r="M362" s="783"/>
      <c r="N362" s="784"/>
      <c r="O362" s="784"/>
      <c r="P362" s="785"/>
    </row>
    <row r="363" spans="1:16" ht="30" customHeight="1">
      <c r="A363" s="25"/>
      <c r="B363" s="27"/>
      <c r="C363" s="27" t="s">
        <v>274</v>
      </c>
      <c r="D363" s="646">
        <v>0</v>
      </c>
      <c r="E363" s="655">
        <v>0</v>
      </c>
      <c r="F363" s="287">
        <f>D363-E363</f>
        <v>0</v>
      </c>
      <c r="G363" s="759"/>
      <c r="H363" s="774"/>
      <c r="I363" s="774"/>
      <c r="J363" s="774"/>
      <c r="K363" s="774"/>
      <c r="L363" s="774"/>
      <c r="M363" s="774"/>
      <c r="N363" s="793"/>
      <c r="O363" s="793"/>
      <c r="P363" s="794"/>
    </row>
    <row r="364" spans="1:16" ht="30" customHeight="1">
      <c r="A364" s="25"/>
      <c r="B364" s="27"/>
      <c r="C364" s="24"/>
      <c r="D364" s="645"/>
      <c r="E364" s="645"/>
      <c r="F364" s="286"/>
      <c r="G364" s="777"/>
      <c r="H364" s="809"/>
      <c r="I364" s="809"/>
      <c r="J364" s="809"/>
      <c r="K364" s="809"/>
      <c r="L364" s="809"/>
      <c r="M364" s="809"/>
      <c r="N364" s="1375"/>
      <c r="O364" s="1375"/>
      <c r="P364" s="1376"/>
    </row>
    <row r="365" spans="1:16" ht="24" customHeight="1">
      <c r="A365" s="25"/>
      <c r="B365" s="27"/>
      <c r="C365" s="27">
        <v>4239</v>
      </c>
      <c r="D365" s="646"/>
      <c r="E365" s="646"/>
      <c r="F365" s="287"/>
      <c r="G365" s="773"/>
      <c r="H365" s="774"/>
      <c r="I365" s="774"/>
      <c r="J365" s="774"/>
      <c r="K365" s="774"/>
      <c r="L365" s="774"/>
      <c r="M365" s="774"/>
      <c r="N365" s="761"/>
      <c r="O365" s="761"/>
      <c r="P365" s="762"/>
    </row>
    <row r="366" spans="1:16" ht="27.75" customHeight="1">
      <c r="A366" s="25"/>
      <c r="B366" s="27"/>
      <c r="C366" s="27" t="s">
        <v>69</v>
      </c>
      <c r="D366" s="646">
        <v>129124</v>
      </c>
      <c r="E366" s="655">
        <v>172000</v>
      </c>
      <c r="F366" s="287">
        <f>D366-E366</f>
        <v>-42876</v>
      </c>
      <c r="G366" s="781" t="s">
        <v>651</v>
      </c>
      <c r="H366" s="759"/>
      <c r="I366" s="759"/>
      <c r="J366" s="759"/>
      <c r="K366" s="759"/>
      <c r="L366" s="759"/>
      <c r="M366" s="759"/>
      <c r="N366" s="1359" t="s">
        <v>652</v>
      </c>
      <c r="O366" s="1359"/>
      <c r="P366" s="1360"/>
    </row>
    <row r="367" spans="1:16" ht="27.75" customHeight="1">
      <c r="A367" s="25"/>
      <c r="B367" s="27"/>
      <c r="C367" s="27"/>
      <c r="D367" s="646"/>
      <c r="E367" s="646"/>
      <c r="F367" s="287"/>
      <c r="G367" s="773" t="s">
        <v>933</v>
      </c>
      <c r="H367" s="773"/>
      <c r="I367" s="773"/>
      <c r="J367" s="773" t="s">
        <v>890</v>
      </c>
      <c r="K367" s="782" t="s">
        <v>911</v>
      </c>
      <c r="L367" s="1390">
        <v>3000000</v>
      </c>
      <c r="M367" s="1390"/>
      <c r="N367" s="1353">
        <v>36000000</v>
      </c>
      <c r="O367" s="1353"/>
      <c r="P367" s="1354"/>
    </row>
    <row r="368" spans="1:16" ht="27.75" customHeight="1" hidden="1">
      <c r="A368" s="25"/>
      <c r="B368" s="27"/>
      <c r="C368" s="27"/>
      <c r="D368" s="646"/>
      <c r="E368" s="646"/>
      <c r="F368" s="287"/>
      <c r="G368" s="781"/>
      <c r="H368" s="796"/>
      <c r="I368" s="796"/>
      <c r="J368" s="796"/>
      <c r="K368" s="796"/>
      <c r="L368" s="796"/>
      <c r="M368" s="796"/>
      <c r="N368" s="761"/>
      <c r="O368" s="1351"/>
      <c r="P368" s="1352"/>
    </row>
    <row r="369" spans="1:16" ht="27.75" customHeight="1" hidden="1">
      <c r="A369" s="25"/>
      <c r="B369" s="27"/>
      <c r="C369" s="27"/>
      <c r="D369" s="646"/>
      <c r="E369" s="646"/>
      <c r="F369" s="287"/>
      <c r="G369" s="781"/>
      <c r="H369" s="796"/>
      <c r="I369" s="796"/>
      <c r="J369" s="796"/>
      <c r="K369" s="796"/>
      <c r="L369" s="796"/>
      <c r="M369" s="796"/>
      <c r="N369" s="1353"/>
      <c r="O369" s="1353"/>
      <c r="P369" s="1354"/>
    </row>
    <row r="370" spans="1:16" ht="27.75" customHeight="1" hidden="1">
      <c r="A370" s="25"/>
      <c r="B370" s="27"/>
      <c r="C370" s="27"/>
      <c r="D370" s="646"/>
      <c r="E370" s="646"/>
      <c r="F370" s="287"/>
      <c r="G370" s="781"/>
      <c r="H370" s="796"/>
      <c r="I370" s="796"/>
      <c r="J370" s="796"/>
      <c r="K370" s="796"/>
      <c r="L370" s="796"/>
      <c r="M370" s="796"/>
      <c r="N370" s="1353"/>
      <c r="O370" s="1353"/>
      <c r="P370" s="1354"/>
    </row>
    <row r="371" spans="1:16" ht="27.75" customHeight="1" hidden="1">
      <c r="A371" s="25"/>
      <c r="B371" s="27"/>
      <c r="C371" s="27"/>
      <c r="D371" s="646"/>
      <c r="E371" s="646"/>
      <c r="F371" s="287"/>
      <c r="G371" s="781"/>
      <c r="H371" s="796"/>
      <c r="I371" s="796"/>
      <c r="J371" s="796"/>
      <c r="K371" s="796"/>
      <c r="L371" s="796"/>
      <c r="M371" s="796"/>
      <c r="N371" s="1353"/>
      <c r="O371" s="1353"/>
      <c r="P371" s="1354"/>
    </row>
    <row r="372" spans="1:16" ht="27.75" customHeight="1">
      <c r="A372" s="25"/>
      <c r="B372" s="27"/>
      <c r="C372" s="27"/>
      <c r="D372" s="646"/>
      <c r="E372" s="646"/>
      <c r="F372" s="287"/>
      <c r="G372" s="781" t="s">
        <v>656</v>
      </c>
      <c r="H372" s="796"/>
      <c r="I372" s="796"/>
      <c r="J372" s="796"/>
      <c r="K372" s="796"/>
      <c r="L372" s="796"/>
      <c r="M372" s="796"/>
      <c r="N372" s="1353">
        <f>SUM(N367:P371)</f>
        <v>36000000</v>
      </c>
      <c r="O372" s="1353"/>
      <c r="P372" s="1354"/>
    </row>
    <row r="373" spans="1:16" ht="30" customHeight="1">
      <c r="A373" s="25"/>
      <c r="B373" s="27"/>
      <c r="C373" s="27"/>
      <c r="D373" s="646"/>
      <c r="E373" s="646"/>
      <c r="F373" s="287"/>
      <c r="G373" s="781" t="s">
        <v>148</v>
      </c>
      <c r="H373" s="796"/>
      <c r="I373" s="796"/>
      <c r="J373" s="796"/>
      <c r="K373" s="796"/>
      <c r="L373" s="796"/>
      <c r="M373" s="796"/>
      <c r="N373" s="1351" t="s">
        <v>120</v>
      </c>
      <c r="O373" s="1351"/>
      <c r="P373" s="1352"/>
    </row>
    <row r="374" spans="1:16" ht="30" customHeight="1">
      <c r="A374" s="25"/>
      <c r="B374" s="27"/>
      <c r="C374" s="27"/>
      <c r="D374" s="646"/>
      <c r="E374" s="646"/>
      <c r="F374" s="287"/>
      <c r="G374" s="775" t="s">
        <v>70</v>
      </c>
      <c r="H374" s="796"/>
      <c r="I374" s="796"/>
      <c r="J374" s="796"/>
      <c r="K374" s="796"/>
      <c r="L374" s="796"/>
      <c r="M374" s="796"/>
      <c r="N374" s="1353">
        <v>3000000</v>
      </c>
      <c r="O374" s="1353"/>
      <c r="P374" s="1354"/>
    </row>
    <row r="375" spans="1:16" ht="30" customHeight="1">
      <c r="A375" s="25"/>
      <c r="B375" s="27"/>
      <c r="C375" s="27"/>
      <c r="D375" s="646"/>
      <c r="E375" s="646"/>
      <c r="F375" s="287"/>
      <c r="G375" s="775" t="s">
        <v>633</v>
      </c>
      <c r="H375" s="796"/>
      <c r="I375" s="796"/>
      <c r="J375" s="796"/>
      <c r="K375" s="796"/>
      <c r="L375" s="796"/>
      <c r="M375" s="796"/>
      <c r="N375" s="761"/>
      <c r="O375" s="761"/>
      <c r="P375" s="762">
        <v>1000000</v>
      </c>
    </row>
    <row r="376" spans="1:16" ht="30" customHeight="1">
      <c r="A376" s="25"/>
      <c r="B376" s="27"/>
      <c r="C376" s="27"/>
      <c r="D376" s="646"/>
      <c r="E376" s="646"/>
      <c r="F376" s="287"/>
      <c r="G376" s="775" t="s">
        <v>1060</v>
      </c>
      <c r="H376" s="796"/>
      <c r="I376" s="796"/>
      <c r="J376" s="796"/>
      <c r="K376" s="796"/>
      <c r="L376" s="796"/>
      <c r="M376" s="796"/>
      <c r="N376" s="761"/>
      <c r="O376" s="761"/>
      <c r="P376" s="762">
        <v>3000000</v>
      </c>
    </row>
    <row r="377" spans="1:16" ht="30" customHeight="1">
      <c r="A377" s="25"/>
      <c r="B377" s="27"/>
      <c r="C377" s="27"/>
      <c r="D377" s="646"/>
      <c r="E377" s="646"/>
      <c r="F377" s="287"/>
      <c r="G377" s="775" t="s">
        <v>634</v>
      </c>
      <c r="H377" s="796"/>
      <c r="I377" s="796"/>
      <c r="J377" s="796"/>
      <c r="K377" s="796"/>
      <c r="L377" s="796"/>
      <c r="M377" s="796"/>
      <c r="N377" s="761"/>
      <c r="O377" s="761"/>
      <c r="P377" s="762">
        <v>12000000</v>
      </c>
    </row>
    <row r="378" spans="1:16" ht="30" customHeight="1">
      <c r="A378" s="25"/>
      <c r="B378" s="27"/>
      <c r="C378" s="27"/>
      <c r="D378" s="646"/>
      <c r="E378" s="646"/>
      <c r="F378" s="287"/>
      <c r="G378" s="775" t="s">
        <v>635</v>
      </c>
      <c r="H378" s="796"/>
      <c r="I378" s="796"/>
      <c r="J378" s="796"/>
      <c r="K378" s="796"/>
      <c r="L378" s="796"/>
      <c r="M378" s="796"/>
      <c r="N378" s="761"/>
      <c r="O378" s="761"/>
      <c r="P378" s="762">
        <v>3000000</v>
      </c>
    </row>
    <row r="379" spans="1:16" ht="30" customHeight="1">
      <c r="A379" s="25"/>
      <c r="B379" s="27"/>
      <c r="C379" s="27"/>
      <c r="D379" s="646"/>
      <c r="E379" s="646"/>
      <c r="F379" s="287"/>
      <c r="G379" s="775" t="s">
        <v>1063</v>
      </c>
      <c r="H379" s="796"/>
      <c r="I379" s="796"/>
      <c r="J379" s="796"/>
      <c r="K379" s="796"/>
      <c r="L379" s="796"/>
      <c r="M379" s="796"/>
      <c r="N379" s="1353">
        <v>27756000</v>
      </c>
      <c r="O379" s="1353"/>
      <c r="P379" s="1354"/>
    </row>
    <row r="380" spans="1:16" ht="30" customHeight="1">
      <c r="A380" s="25"/>
      <c r="B380" s="27"/>
      <c r="C380" s="27"/>
      <c r="D380" s="646"/>
      <c r="E380" s="646"/>
      <c r="F380" s="287"/>
      <c r="G380" s="775" t="s">
        <v>1061</v>
      </c>
      <c r="H380" s="796"/>
      <c r="I380" s="796"/>
      <c r="J380" s="796"/>
      <c r="K380" s="796"/>
      <c r="L380" s="796"/>
      <c r="M380" s="796"/>
      <c r="N380" s="761">
        <v>1000000</v>
      </c>
      <c r="O380" s="761"/>
      <c r="P380" s="762">
        <v>1000000</v>
      </c>
    </row>
    <row r="381" spans="1:16" ht="30" customHeight="1">
      <c r="A381" s="25"/>
      <c r="B381" s="27"/>
      <c r="C381" s="27"/>
      <c r="D381" s="646"/>
      <c r="E381" s="646"/>
      <c r="F381" s="287"/>
      <c r="G381" s="775" t="s">
        <v>1062</v>
      </c>
      <c r="H381" s="796"/>
      <c r="I381" s="796"/>
      <c r="J381" s="796"/>
      <c r="K381" s="796"/>
      <c r="L381" s="796"/>
      <c r="M381" s="796"/>
      <c r="N381" s="1353">
        <v>7000000</v>
      </c>
      <c r="O381" s="1353"/>
      <c r="P381" s="1354"/>
    </row>
    <row r="382" spans="1:16" ht="30" customHeight="1">
      <c r="A382" s="25"/>
      <c r="B382" s="27"/>
      <c r="C382" s="27"/>
      <c r="D382" s="646"/>
      <c r="E382" s="646"/>
      <c r="F382" s="287"/>
      <c r="G382" s="766" t="s">
        <v>1064</v>
      </c>
      <c r="H382" s="796"/>
      <c r="I382" s="796"/>
      <c r="J382" s="796"/>
      <c r="K382" s="796"/>
      <c r="L382" s="796"/>
      <c r="M382" s="796"/>
      <c r="N382" s="761"/>
      <c r="O382" s="761"/>
      <c r="P382" s="762">
        <v>34368000</v>
      </c>
    </row>
    <row r="383" spans="1:16" ht="30" customHeight="1">
      <c r="A383" s="25"/>
      <c r="B383" s="27"/>
      <c r="C383" s="27"/>
      <c r="D383" s="646"/>
      <c r="E383" s="646"/>
      <c r="F383" s="287"/>
      <c r="G383" s="1368" t="s">
        <v>359</v>
      </c>
      <c r="H383" s="1369"/>
      <c r="I383" s="796"/>
      <c r="J383" s="796"/>
      <c r="K383" s="796"/>
      <c r="L383" s="796"/>
      <c r="M383" s="796"/>
      <c r="N383" s="761"/>
      <c r="O383" s="761"/>
      <c r="P383" s="762">
        <f>SUM(N374:P382)</f>
        <v>93124000</v>
      </c>
    </row>
    <row r="384" spans="1:16" ht="30" customHeight="1">
      <c r="A384" s="952"/>
      <c r="B384" s="949"/>
      <c r="C384" s="949"/>
      <c r="D384" s="650"/>
      <c r="E384" s="650"/>
      <c r="F384" s="950"/>
      <c r="G384" s="1386" t="s">
        <v>379</v>
      </c>
      <c r="H384" s="1387"/>
      <c r="I384" s="791"/>
      <c r="J384" s="791"/>
      <c r="K384" s="791"/>
      <c r="L384" s="791"/>
      <c r="M384" s="791"/>
      <c r="N384" s="1375">
        <f>+N372+P383</f>
        <v>129124000</v>
      </c>
      <c r="O384" s="1375"/>
      <c r="P384" s="1376"/>
    </row>
    <row r="385" spans="1:16" ht="30" customHeight="1">
      <c r="A385" s="25">
        <v>4300</v>
      </c>
      <c r="B385" s="27"/>
      <c r="C385" s="27"/>
      <c r="D385" s="646"/>
      <c r="E385" s="646"/>
      <c r="F385" s="287"/>
      <c r="G385" s="759"/>
      <c r="H385" s="796"/>
      <c r="I385" s="796"/>
      <c r="J385" s="796"/>
      <c r="K385" s="796"/>
      <c r="L385" s="796"/>
      <c r="M385" s="796"/>
      <c r="N385" s="761"/>
      <c r="O385" s="761"/>
      <c r="P385" s="762"/>
    </row>
    <row r="386" spans="1:16" ht="30" customHeight="1">
      <c r="A386" s="42" t="s">
        <v>275</v>
      </c>
      <c r="B386" s="24"/>
      <c r="C386" s="24"/>
      <c r="D386" s="645">
        <f>D388+D404+D486</f>
        <v>10713464</v>
      </c>
      <c r="E386" s="645">
        <f>E388+E404+E486</f>
        <v>11439150</v>
      </c>
      <c r="F386" s="286">
        <f>D386-E386</f>
        <v>-725686</v>
      </c>
      <c r="G386" s="756"/>
      <c r="H386" s="800"/>
      <c r="I386" s="800"/>
      <c r="J386" s="800"/>
      <c r="K386" s="800"/>
      <c r="L386" s="800"/>
      <c r="M386" s="800"/>
      <c r="N386" s="757"/>
      <c r="O386" s="757"/>
      <c r="P386" s="758"/>
    </row>
    <row r="387" spans="1:16" ht="20.25" customHeight="1">
      <c r="A387" s="25"/>
      <c r="B387" s="27">
        <v>4310</v>
      </c>
      <c r="C387" s="27"/>
      <c r="D387" s="646"/>
      <c r="E387" s="646"/>
      <c r="F387" s="287"/>
      <c r="G387" s="759"/>
      <c r="H387" s="796"/>
      <c r="I387" s="796"/>
      <c r="J387" s="796"/>
      <c r="K387" s="796"/>
      <c r="L387" s="796"/>
      <c r="M387" s="796"/>
      <c r="N387" s="761"/>
      <c r="O387" s="761"/>
      <c r="P387" s="762"/>
    </row>
    <row r="388" spans="1:16" ht="30" customHeight="1">
      <c r="A388" s="25"/>
      <c r="B388" s="27" t="s">
        <v>276</v>
      </c>
      <c r="C388" s="24"/>
      <c r="D388" s="645">
        <f>D390+D398</f>
        <v>664443</v>
      </c>
      <c r="E388" s="645">
        <f>E390+E398</f>
        <v>744000</v>
      </c>
      <c r="F388" s="286">
        <f>D388-E388</f>
        <v>-79557</v>
      </c>
      <c r="G388" s="756"/>
      <c r="H388" s="800"/>
      <c r="I388" s="800"/>
      <c r="J388" s="800"/>
      <c r="K388" s="800"/>
      <c r="L388" s="800"/>
      <c r="M388" s="800"/>
      <c r="N388" s="757"/>
      <c r="O388" s="757"/>
      <c r="P388" s="758"/>
    </row>
    <row r="389" spans="1:16" ht="21.75" customHeight="1">
      <c r="A389" s="25"/>
      <c r="B389" s="27"/>
      <c r="C389" s="27">
        <v>4311</v>
      </c>
      <c r="D389" s="646"/>
      <c r="E389" s="646"/>
      <c r="F389" s="287"/>
      <c r="G389" s="773"/>
      <c r="H389" s="774"/>
      <c r="I389" s="774"/>
      <c r="J389" s="774"/>
      <c r="K389" s="774"/>
      <c r="L389" s="774"/>
      <c r="M389" s="774"/>
      <c r="N389" s="761"/>
      <c r="O389" s="761"/>
      <c r="P389" s="762"/>
    </row>
    <row r="390" spans="1:16" ht="30" customHeight="1">
      <c r="A390" s="25"/>
      <c r="B390" s="71"/>
      <c r="C390" s="71" t="s">
        <v>276</v>
      </c>
      <c r="D390" s="654">
        <v>652799</v>
      </c>
      <c r="E390" s="654">
        <v>700000</v>
      </c>
      <c r="F390" s="287">
        <f>D390-E390</f>
        <v>-47201</v>
      </c>
      <c r="G390" s="759" t="s">
        <v>885</v>
      </c>
      <c r="H390" s="759"/>
      <c r="I390" s="759"/>
      <c r="J390" s="759"/>
      <c r="K390" s="759"/>
      <c r="L390" s="759"/>
      <c r="M390" s="759"/>
      <c r="N390" s="1359" t="s">
        <v>887</v>
      </c>
      <c r="O390" s="1359"/>
      <c r="P390" s="1360"/>
    </row>
    <row r="391" spans="1:16" ht="30" customHeight="1">
      <c r="A391" s="25"/>
      <c r="B391" s="71"/>
      <c r="C391" s="71"/>
      <c r="D391" s="654"/>
      <c r="E391" s="654"/>
      <c r="F391" s="292"/>
      <c r="G391" s="773" t="s">
        <v>1286</v>
      </c>
      <c r="H391" s="773"/>
      <c r="I391" s="773"/>
      <c r="J391" s="773"/>
      <c r="K391" s="773"/>
      <c r="L391" s="773"/>
      <c r="M391" s="773"/>
      <c r="N391" s="1353">
        <v>200000000</v>
      </c>
      <c r="O391" s="1353"/>
      <c r="P391" s="1354"/>
    </row>
    <row r="392" spans="1:16" ht="30" customHeight="1">
      <c r="A392" s="41"/>
      <c r="B392" s="71"/>
      <c r="C392" s="71"/>
      <c r="D392" s="654"/>
      <c r="E392" s="654"/>
      <c r="F392" s="292"/>
      <c r="G392" s="781" t="s">
        <v>934</v>
      </c>
      <c r="H392" s="1046"/>
      <c r="I392" s="796"/>
      <c r="J392" s="796"/>
      <c r="K392" s="796"/>
      <c r="L392" s="796"/>
      <c r="M392" s="796"/>
      <c r="N392" s="1353">
        <f>SUM(N391:P391)</f>
        <v>200000000</v>
      </c>
      <c r="O392" s="1353"/>
      <c r="P392" s="1354"/>
    </row>
    <row r="393" spans="1:16" ht="30" customHeight="1">
      <c r="A393" s="41"/>
      <c r="B393" s="71"/>
      <c r="C393" s="71"/>
      <c r="D393" s="654"/>
      <c r="E393" s="654"/>
      <c r="F393" s="292"/>
      <c r="G393" s="759" t="s">
        <v>148</v>
      </c>
      <c r="H393" s="1046"/>
      <c r="I393" s="796"/>
      <c r="J393" s="796"/>
      <c r="K393" s="796"/>
      <c r="L393" s="796"/>
      <c r="M393" s="796"/>
      <c r="N393" s="1351" t="s">
        <v>120</v>
      </c>
      <c r="O393" s="1351"/>
      <c r="P393" s="1352"/>
    </row>
    <row r="394" spans="1:16" ht="30" customHeight="1">
      <c r="A394" s="41"/>
      <c r="B394" s="71"/>
      <c r="C394" s="71"/>
      <c r="D394" s="654"/>
      <c r="E394" s="654"/>
      <c r="F394" s="292"/>
      <c r="G394" s="759" t="s">
        <v>192</v>
      </c>
      <c r="H394" s="1046"/>
      <c r="I394" s="796"/>
      <c r="J394" s="796"/>
      <c r="K394" s="796"/>
      <c r="L394" s="796"/>
      <c r="M394" s="796"/>
      <c r="N394" s="1353">
        <v>452799000</v>
      </c>
      <c r="O394" s="1353"/>
      <c r="P394" s="1354"/>
    </row>
    <row r="395" spans="1:16" ht="30" customHeight="1">
      <c r="A395" s="324"/>
      <c r="B395" s="325"/>
      <c r="C395" s="325"/>
      <c r="D395" s="655"/>
      <c r="E395" s="655"/>
      <c r="F395" s="326"/>
      <c r="G395" s="1368" t="s">
        <v>359</v>
      </c>
      <c r="H395" s="1369"/>
      <c r="I395" s="796"/>
      <c r="J395" s="796"/>
      <c r="K395" s="796"/>
      <c r="L395" s="796"/>
      <c r="M395" s="796"/>
      <c r="N395" s="761"/>
      <c r="O395" s="761"/>
      <c r="P395" s="762">
        <f>SUM(N394)</f>
        <v>452799000</v>
      </c>
    </row>
    <row r="396" spans="1:16" ht="30" customHeight="1">
      <c r="A396" s="25"/>
      <c r="B396" s="27"/>
      <c r="C396" s="27"/>
      <c r="D396" s="646"/>
      <c r="E396" s="646"/>
      <c r="F396" s="287"/>
      <c r="G396" s="1386" t="s">
        <v>379</v>
      </c>
      <c r="H396" s="1387"/>
      <c r="I396" s="759"/>
      <c r="J396" s="759"/>
      <c r="K396" s="759"/>
      <c r="L396" s="756"/>
      <c r="M396" s="810"/>
      <c r="N396" s="1375">
        <f>+N392+P395</f>
        <v>652799000</v>
      </c>
      <c r="O396" s="1375"/>
      <c r="P396" s="1376"/>
    </row>
    <row r="397" spans="1:16" ht="26.25" customHeight="1">
      <c r="A397" s="25"/>
      <c r="B397" s="27"/>
      <c r="C397" s="28">
        <v>4312</v>
      </c>
      <c r="D397" s="647"/>
      <c r="E397" s="647"/>
      <c r="F397" s="288"/>
      <c r="G397" s="763"/>
      <c r="H397" s="769"/>
      <c r="I397" s="769"/>
      <c r="J397" s="769"/>
      <c r="K397" s="769"/>
      <c r="L397" s="769"/>
      <c r="M397" s="769"/>
      <c r="N397" s="784"/>
      <c r="O397" s="784"/>
      <c r="P397" s="785"/>
    </row>
    <row r="398" spans="1:16" ht="30" customHeight="1">
      <c r="A398" s="25"/>
      <c r="B398" s="27"/>
      <c r="C398" s="27" t="s">
        <v>277</v>
      </c>
      <c r="D398" s="646">
        <v>11644</v>
      </c>
      <c r="E398" s="646">
        <v>44000</v>
      </c>
      <c r="F398" s="287">
        <f>D398-E398</f>
        <v>-32356</v>
      </c>
      <c r="G398" s="759" t="s">
        <v>1169</v>
      </c>
      <c r="H398" s="759"/>
      <c r="I398" s="759"/>
      <c r="J398" s="759"/>
      <c r="K398" s="759"/>
      <c r="L398" s="759"/>
      <c r="M398" s="759"/>
      <c r="N398" s="1359" t="s">
        <v>76</v>
      </c>
      <c r="O398" s="1359"/>
      <c r="P398" s="1360"/>
    </row>
    <row r="399" spans="1:16" ht="30" customHeight="1">
      <c r="A399" s="25"/>
      <c r="B399" s="325"/>
      <c r="C399" s="325"/>
      <c r="D399" s="655"/>
      <c r="E399" s="655"/>
      <c r="F399" s="326"/>
      <c r="G399" s="773" t="s">
        <v>1170</v>
      </c>
      <c r="H399" s="773"/>
      <c r="I399" s="773"/>
      <c r="J399" s="773"/>
      <c r="K399" s="773"/>
      <c r="L399" s="773"/>
      <c r="M399" s="773"/>
      <c r="N399" s="1353">
        <v>80000000</v>
      </c>
      <c r="O399" s="1353"/>
      <c r="P399" s="1354"/>
    </row>
    <row r="400" spans="1:16" ht="30" customHeight="1">
      <c r="A400" s="25"/>
      <c r="B400" s="325"/>
      <c r="C400" s="325"/>
      <c r="D400" s="655"/>
      <c r="E400" s="655"/>
      <c r="F400" s="326"/>
      <c r="G400" s="759" t="s">
        <v>6</v>
      </c>
      <c r="H400" s="774"/>
      <c r="I400" s="774"/>
      <c r="J400" s="774"/>
      <c r="K400" s="774"/>
      <c r="L400" s="774"/>
      <c r="M400" s="774"/>
      <c r="N400" s="793"/>
      <c r="O400" s="793"/>
      <c r="P400" s="794"/>
    </row>
    <row r="401" spans="1:16" ht="30" customHeight="1">
      <c r="A401" s="25"/>
      <c r="B401" s="27"/>
      <c r="C401" s="27"/>
      <c r="D401" s="646"/>
      <c r="E401" s="646"/>
      <c r="F401" s="287"/>
      <c r="G401" s="1421" t="s">
        <v>1287</v>
      </c>
      <c r="H401" s="1422"/>
      <c r="I401" s="1422"/>
      <c r="J401" s="1422"/>
      <c r="K401" s="1422"/>
      <c r="L401" s="1422"/>
      <c r="M401" s="1422"/>
      <c r="N401" s="1353">
        <v>30644000</v>
      </c>
      <c r="O401" s="1353"/>
      <c r="P401" s="1354"/>
    </row>
    <row r="402" spans="1:16" ht="30" customHeight="1">
      <c r="A402" s="25"/>
      <c r="B402" s="27"/>
      <c r="C402" s="27"/>
      <c r="D402" s="646"/>
      <c r="E402" s="646"/>
      <c r="F402" s="287"/>
      <c r="G402" s="777" t="s">
        <v>74</v>
      </c>
      <c r="H402" s="809"/>
      <c r="I402" s="809"/>
      <c r="J402" s="809"/>
      <c r="K402" s="809"/>
      <c r="L402" s="809"/>
      <c r="M402" s="809"/>
      <c r="N402" s="1375">
        <f>SUM(N399+N401)</f>
        <v>110644000</v>
      </c>
      <c r="O402" s="1375"/>
      <c r="P402" s="1376"/>
    </row>
    <row r="403" spans="1:16" ht="30" customHeight="1">
      <c r="A403" s="25"/>
      <c r="B403" s="28">
        <v>4320</v>
      </c>
      <c r="C403" s="28"/>
      <c r="D403" s="647"/>
      <c r="E403" s="647"/>
      <c r="F403" s="288"/>
      <c r="G403" s="811"/>
      <c r="H403" s="812"/>
      <c r="I403" s="812"/>
      <c r="J403" s="813"/>
      <c r="K403" s="813"/>
      <c r="L403" s="813"/>
      <c r="M403" s="814"/>
      <c r="N403" s="784"/>
      <c r="O403" s="784"/>
      <c r="P403" s="785"/>
    </row>
    <row r="404" spans="1:16" ht="30" customHeight="1">
      <c r="A404" s="25"/>
      <c r="B404" s="27" t="s">
        <v>278</v>
      </c>
      <c r="C404" s="306"/>
      <c r="D404" s="650">
        <f>D409+D406+D417+D451+D459+D475</f>
        <v>10049021</v>
      </c>
      <c r="E404" s="650">
        <f>E409+E406+E417+E451+E459+E475</f>
        <v>10695150</v>
      </c>
      <c r="F404" s="294">
        <f>D404-E404</f>
        <v>-646129</v>
      </c>
      <c r="G404" s="943"/>
      <c r="H404" s="944"/>
      <c r="I404" s="944"/>
      <c r="J404" s="945"/>
      <c r="K404" s="945"/>
      <c r="L404" s="945"/>
      <c r="M404" s="810"/>
      <c r="N404" s="1138"/>
      <c r="O404" s="1138"/>
      <c r="P404" s="1139"/>
    </row>
    <row r="405" spans="1:16" ht="20.25" customHeight="1">
      <c r="A405" s="25"/>
      <c r="B405" s="27"/>
      <c r="C405" s="27">
        <v>4321</v>
      </c>
      <c r="D405" s="646"/>
      <c r="E405" s="646"/>
      <c r="F405" s="287"/>
      <c r="G405" s="773"/>
      <c r="H405" s="759"/>
      <c r="I405" s="759"/>
      <c r="J405" s="759"/>
      <c r="K405" s="759"/>
      <c r="L405" s="759"/>
      <c r="M405" s="759"/>
      <c r="N405" s="761"/>
      <c r="O405" s="761"/>
      <c r="P405" s="762"/>
    </row>
    <row r="406" spans="1:16" ht="30" customHeight="1">
      <c r="A406" s="25"/>
      <c r="B406" s="27"/>
      <c r="C406" s="27" t="s">
        <v>205</v>
      </c>
      <c r="D406" s="646">
        <v>0</v>
      </c>
      <c r="E406" s="646">
        <v>0</v>
      </c>
      <c r="F406" s="287">
        <f>D406-E406</f>
        <v>0</v>
      </c>
      <c r="G406" s="759"/>
      <c r="H406" s="773"/>
      <c r="I406" s="773"/>
      <c r="J406" s="773"/>
      <c r="K406" s="773"/>
      <c r="L406" s="773"/>
      <c r="M406" s="773"/>
      <c r="N406" s="1351"/>
      <c r="O406" s="1351"/>
      <c r="P406" s="1352"/>
    </row>
    <row r="407" spans="1:16" ht="30" customHeight="1">
      <c r="A407" s="25"/>
      <c r="B407" s="27"/>
      <c r="C407" s="24"/>
      <c r="D407" s="645"/>
      <c r="E407" s="645"/>
      <c r="F407" s="286"/>
      <c r="G407" s="1386"/>
      <c r="H407" s="1387"/>
      <c r="I407" s="756"/>
      <c r="J407" s="756"/>
      <c r="K407" s="756"/>
      <c r="L407" s="756"/>
      <c r="M407" s="756"/>
      <c r="N407" s="757"/>
      <c r="O407" s="757"/>
      <c r="P407" s="758"/>
    </row>
    <row r="408" spans="1:16" ht="21.75" customHeight="1">
      <c r="A408" s="25"/>
      <c r="B408" s="27"/>
      <c r="C408" s="27">
        <v>4322</v>
      </c>
      <c r="D408" s="646"/>
      <c r="E408" s="646"/>
      <c r="F408" s="287"/>
      <c r="H408" s="759"/>
      <c r="I408" s="759"/>
      <c r="J408" s="759"/>
      <c r="K408" s="759"/>
      <c r="L408" s="759"/>
      <c r="M408" s="759"/>
      <c r="N408" s="761"/>
      <c r="O408" s="761"/>
      <c r="P408" s="762"/>
    </row>
    <row r="409" spans="1:16" ht="30" customHeight="1">
      <c r="A409" s="34"/>
      <c r="B409" s="27"/>
      <c r="C409" s="27" t="s">
        <v>64</v>
      </c>
      <c r="D409" s="646">
        <v>9309307</v>
      </c>
      <c r="E409" s="655">
        <v>9500000</v>
      </c>
      <c r="F409" s="287">
        <f>D409-E409</f>
        <v>-190693</v>
      </c>
      <c r="G409" s="759" t="s">
        <v>337</v>
      </c>
      <c r="H409" s="773"/>
      <c r="I409" s="773"/>
      <c r="J409" s="773"/>
      <c r="K409" s="773"/>
      <c r="L409" s="773"/>
      <c r="M409" s="773"/>
      <c r="N409" s="1351" t="s">
        <v>336</v>
      </c>
      <c r="O409" s="1351"/>
      <c r="P409" s="1352"/>
    </row>
    <row r="410" spans="1:16" ht="30" customHeight="1">
      <c r="A410" s="34"/>
      <c r="B410" s="27"/>
      <c r="C410" s="27"/>
      <c r="D410" s="646" t="s">
        <v>3</v>
      </c>
      <c r="E410" s="646" t="s">
        <v>3</v>
      </c>
      <c r="F410" s="287"/>
      <c r="G410" s="773" t="s">
        <v>935</v>
      </c>
      <c r="H410" s="773"/>
      <c r="I410" s="773"/>
      <c r="J410" s="773"/>
      <c r="K410" s="773"/>
      <c r="L410" s="773"/>
      <c r="M410" s="773"/>
      <c r="N410" s="1351">
        <v>2200000000</v>
      </c>
      <c r="O410" s="1351"/>
      <c r="P410" s="1352"/>
    </row>
    <row r="411" spans="1:16" ht="30" customHeight="1">
      <c r="A411" s="34"/>
      <c r="B411" s="27"/>
      <c r="C411" s="27"/>
      <c r="D411" s="646"/>
      <c r="E411" s="646"/>
      <c r="F411" s="287"/>
      <c r="G411" s="1368" t="s">
        <v>383</v>
      </c>
      <c r="H411" s="1369"/>
      <c r="I411" s="773"/>
      <c r="J411" s="773"/>
      <c r="K411" s="773"/>
      <c r="L411" s="773"/>
      <c r="M411" s="773"/>
      <c r="N411" s="760"/>
      <c r="O411" s="760"/>
      <c r="P411" s="788">
        <f>SUM(N410)</f>
        <v>2200000000</v>
      </c>
    </row>
    <row r="412" spans="1:16" ht="30" customHeight="1">
      <c r="A412" s="34"/>
      <c r="B412" s="27"/>
      <c r="C412" s="27"/>
      <c r="D412" s="646"/>
      <c r="E412" s="646"/>
      <c r="F412" s="287"/>
      <c r="G412" s="773" t="s">
        <v>8</v>
      </c>
      <c r="H412" s="773"/>
      <c r="I412" s="773"/>
      <c r="J412" s="773"/>
      <c r="K412" s="773"/>
      <c r="L412" s="773"/>
      <c r="M412" s="773"/>
      <c r="N412" s="760" t="s">
        <v>120</v>
      </c>
      <c r="O412" s="760"/>
      <c r="P412" s="788"/>
    </row>
    <row r="413" spans="1:16" ht="30" customHeight="1">
      <c r="A413" s="34"/>
      <c r="B413" s="27"/>
      <c r="C413" s="27"/>
      <c r="D413" s="646"/>
      <c r="E413" s="646"/>
      <c r="F413" s="287"/>
      <c r="G413" s="1388" t="s">
        <v>1069</v>
      </c>
      <c r="H413" s="1389"/>
      <c r="I413" s="1389"/>
      <c r="J413" s="1389"/>
      <c r="K413" s="1389"/>
      <c r="L413" s="1389"/>
      <c r="M413" s="1389"/>
      <c r="N413" s="1353">
        <v>7109307000</v>
      </c>
      <c r="O413" s="1353"/>
      <c r="P413" s="1354"/>
    </row>
    <row r="414" spans="1:16" ht="30" customHeight="1">
      <c r="A414" s="34"/>
      <c r="B414" s="27"/>
      <c r="C414" s="27"/>
      <c r="D414" s="646"/>
      <c r="E414" s="646"/>
      <c r="F414" s="287"/>
      <c r="G414" s="1368" t="s">
        <v>359</v>
      </c>
      <c r="H414" s="1369"/>
      <c r="I414" s="759"/>
      <c r="J414" s="759"/>
      <c r="K414" s="759"/>
      <c r="L414" s="759"/>
      <c r="M414" s="759"/>
      <c r="N414" s="761"/>
      <c r="O414" s="761"/>
      <c r="P414" s="762">
        <f>SUM(N413)</f>
        <v>7109307000</v>
      </c>
    </row>
    <row r="415" spans="1:16" ht="30" customHeight="1">
      <c r="A415" s="34"/>
      <c r="B415" s="27"/>
      <c r="C415" s="24"/>
      <c r="D415" s="645"/>
      <c r="E415" s="645"/>
      <c r="F415" s="286"/>
      <c r="G415" s="1386" t="s">
        <v>4</v>
      </c>
      <c r="H415" s="1387"/>
      <c r="I415" s="756"/>
      <c r="J415" s="756"/>
      <c r="K415" s="756"/>
      <c r="L415" s="756"/>
      <c r="M415" s="756"/>
      <c r="N415" s="757"/>
      <c r="O415" s="757"/>
      <c r="P415" s="758">
        <f>SUM(P411+P414)</f>
        <v>9309307000</v>
      </c>
    </row>
    <row r="416" spans="1:16" ht="30" customHeight="1">
      <c r="A416" s="34"/>
      <c r="B416" s="27"/>
      <c r="C416" s="27">
        <v>4323</v>
      </c>
      <c r="D416" s="646"/>
      <c r="E416" s="646"/>
      <c r="F416" s="287"/>
      <c r="G416" s="773"/>
      <c r="H416" s="796" t="s">
        <v>120</v>
      </c>
      <c r="I416" s="759"/>
      <c r="J416" s="759"/>
      <c r="K416" s="759"/>
      <c r="L416" s="759"/>
      <c r="M416" s="759"/>
      <c r="N416" s="1353" t="s">
        <v>120</v>
      </c>
      <c r="O416" s="1353"/>
      <c r="P416" s="1354"/>
    </row>
    <row r="417" spans="1:16" ht="30" customHeight="1">
      <c r="A417" s="34"/>
      <c r="B417" s="27"/>
      <c r="C417" s="27" t="s">
        <v>279</v>
      </c>
      <c r="D417" s="646">
        <v>424255</v>
      </c>
      <c r="E417" s="655">
        <v>498000</v>
      </c>
      <c r="F417" s="287">
        <f>D417-E417</f>
        <v>-73745</v>
      </c>
      <c r="G417" s="781" t="s">
        <v>885</v>
      </c>
      <c r="H417" s="773"/>
      <c r="I417" s="773"/>
      <c r="J417" s="773"/>
      <c r="K417" s="773"/>
      <c r="L417" s="773"/>
      <c r="M417" s="773"/>
      <c r="N417" s="1359"/>
      <c r="O417" s="1359"/>
      <c r="P417" s="1360"/>
    </row>
    <row r="418" spans="1:16" ht="30" customHeight="1">
      <c r="A418" s="34"/>
      <c r="B418" s="27"/>
      <c r="C418" s="27"/>
      <c r="D418" s="646"/>
      <c r="E418" s="646"/>
      <c r="F418" s="287"/>
      <c r="G418" s="781" t="s">
        <v>936</v>
      </c>
      <c r="H418" s="773"/>
      <c r="I418" s="773"/>
      <c r="J418" s="773"/>
      <c r="K418" s="773"/>
      <c r="L418" s="773"/>
      <c r="M418" s="773"/>
      <c r="N418" s="761"/>
      <c r="O418" s="761"/>
      <c r="P418" s="762">
        <v>33000000</v>
      </c>
    </row>
    <row r="419" spans="1:16" ht="30" customHeight="1">
      <c r="A419" s="34"/>
      <c r="B419" s="27"/>
      <c r="C419" s="27"/>
      <c r="D419" s="646"/>
      <c r="E419" s="646"/>
      <c r="F419" s="287"/>
      <c r="G419" s="781" t="s">
        <v>937</v>
      </c>
      <c r="H419" s="766"/>
      <c r="I419" s="760"/>
      <c r="J419" s="760" t="s">
        <v>938</v>
      </c>
      <c r="K419" s="759" t="s">
        <v>911</v>
      </c>
      <c r="L419" s="1351">
        <v>4500000</v>
      </c>
      <c r="M419" s="1351"/>
      <c r="N419" s="1353">
        <v>99000000</v>
      </c>
      <c r="O419" s="1353"/>
      <c r="P419" s="1354"/>
    </row>
    <row r="420" spans="1:16" ht="30" customHeight="1">
      <c r="A420" s="34"/>
      <c r="B420" s="27"/>
      <c r="C420" s="27"/>
      <c r="D420" s="646"/>
      <c r="E420" s="646"/>
      <c r="F420" s="287"/>
      <c r="G420" s="781" t="s">
        <v>939</v>
      </c>
      <c r="H420" s="766"/>
      <c r="I420" s="760"/>
      <c r="J420" s="760"/>
      <c r="K420" s="759"/>
      <c r="L420" s="759"/>
      <c r="M420" s="759"/>
      <c r="N420" s="1353">
        <v>30000000</v>
      </c>
      <c r="O420" s="1353"/>
      <c r="P420" s="1354"/>
    </row>
    <row r="421" spans="1:16" ht="30" customHeight="1" hidden="1">
      <c r="A421" s="34"/>
      <c r="B421" s="27"/>
      <c r="C421" s="27"/>
      <c r="D421" s="646"/>
      <c r="E421" s="646"/>
      <c r="F421" s="287"/>
      <c r="G421" s="781"/>
      <c r="H421" s="766"/>
      <c r="I421" s="760"/>
      <c r="J421" s="760"/>
      <c r="K421" s="759"/>
      <c r="L421" s="759"/>
      <c r="M421" s="759"/>
      <c r="N421" s="761"/>
      <c r="O421" s="761"/>
      <c r="P421" s="762"/>
    </row>
    <row r="422" spans="1:16" ht="30" customHeight="1" hidden="1">
      <c r="A422" s="34"/>
      <c r="B422" s="27"/>
      <c r="C422" s="27"/>
      <c r="D422" s="646"/>
      <c r="E422" s="646"/>
      <c r="F422" s="287"/>
      <c r="G422" s="781"/>
      <c r="H422" s="766"/>
      <c r="I422" s="760"/>
      <c r="J422" s="760"/>
      <c r="K422" s="759"/>
      <c r="L422" s="759"/>
      <c r="M422" s="759"/>
      <c r="N422" s="1353"/>
      <c r="O422" s="1353"/>
      <c r="P422" s="1354"/>
    </row>
    <row r="423" spans="1:16" ht="30" customHeight="1" hidden="1">
      <c r="A423" s="34"/>
      <c r="B423" s="27"/>
      <c r="C423" s="27"/>
      <c r="D423" s="646"/>
      <c r="E423" s="646"/>
      <c r="F423" s="287"/>
      <c r="G423" s="781"/>
      <c r="H423" s="766"/>
      <c r="I423" s="760"/>
      <c r="J423" s="760"/>
      <c r="K423" s="759"/>
      <c r="L423" s="1351"/>
      <c r="M423" s="1351"/>
      <c r="N423" s="1353"/>
      <c r="O423" s="1353"/>
      <c r="P423" s="1354"/>
    </row>
    <row r="424" spans="1:16" ht="30" customHeight="1" hidden="1">
      <c r="A424" s="34"/>
      <c r="B424" s="27"/>
      <c r="C424" s="27"/>
      <c r="D424" s="646"/>
      <c r="E424" s="646"/>
      <c r="F424" s="287"/>
      <c r="G424" s="781"/>
      <c r="H424" s="766"/>
      <c r="I424" s="760"/>
      <c r="J424" s="760"/>
      <c r="K424" s="759"/>
      <c r="L424" s="1351"/>
      <c r="M424" s="1351"/>
      <c r="N424" s="1353"/>
      <c r="O424" s="1353"/>
      <c r="P424" s="1354"/>
    </row>
    <row r="425" spans="1:16" ht="30" customHeight="1" hidden="1">
      <c r="A425" s="34"/>
      <c r="B425" s="27"/>
      <c r="C425" s="27"/>
      <c r="D425" s="646"/>
      <c r="E425" s="646"/>
      <c r="F425" s="287"/>
      <c r="G425" s="781"/>
      <c r="H425" s="766"/>
      <c r="I425" s="760"/>
      <c r="J425" s="760"/>
      <c r="K425" s="759"/>
      <c r="L425" s="759"/>
      <c r="M425" s="759"/>
      <c r="N425" s="1353"/>
      <c r="O425" s="1353"/>
      <c r="P425" s="1354"/>
    </row>
    <row r="426" spans="1:16" ht="30" customHeight="1">
      <c r="A426" s="34"/>
      <c r="B426" s="27"/>
      <c r="C426" s="27"/>
      <c r="D426" s="646"/>
      <c r="E426" s="646"/>
      <c r="F426" s="287"/>
      <c r="G426" s="1368" t="s">
        <v>383</v>
      </c>
      <c r="H426" s="1369"/>
      <c r="I426" s="760"/>
      <c r="J426" s="760"/>
      <c r="K426" s="759"/>
      <c r="L426" s="759"/>
      <c r="M426" s="759"/>
      <c r="N426" s="1353">
        <f>SUM(N418:P425)</f>
        <v>162000000</v>
      </c>
      <c r="O426" s="1353"/>
      <c r="P426" s="1354"/>
    </row>
    <row r="427" spans="1:16" ht="30" customHeight="1">
      <c r="A427" s="34"/>
      <c r="B427" s="27"/>
      <c r="C427" s="27"/>
      <c r="D427" s="646"/>
      <c r="E427" s="646"/>
      <c r="F427" s="287"/>
      <c r="G427" s="781" t="s">
        <v>148</v>
      </c>
      <c r="H427" s="766"/>
      <c r="I427" s="760"/>
      <c r="J427" s="760"/>
      <c r="K427" s="759"/>
      <c r="L427" s="759"/>
      <c r="M427" s="759"/>
      <c r="N427" s="1351" t="s">
        <v>120</v>
      </c>
      <c r="O427" s="1351"/>
      <c r="P427" s="1352"/>
    </row>
    <row r="428" spans="1:16" ht="30" customHeight="1">
      <c r="A428" s="34"/>
      <c r="B428" s="27"/>
      <c r="C428" s="27"/>
      <c r="D428" s="646"/>
      <c r="E428" s="646"/>
      <c r="F428" s="287"/>
      <c r="G428" s="766" t="s">
        <v>163</v>
      </c>
      <c r="I428" s="760"/>
      <c r="J428" s="760"/>
      <c r="K428" s="759"/>
      <c r="L428" s="759"/>
      <c r="M428" s="759"/>
      <c r="N428" s="1353">
        <f>8720000+10000000</f>
        <v>18720000</v>
      </c>
      <c r="O428" s="1353"/>
      <c r="P428" s="1354"/>
    </row>
    <row r="429" spans="1:16" ht="30" customHeight="1">
      <c r="A429" s="34"/>
      <c r="B429" s="27"/>
      <c r="C429" s="27"/>
      <c r="D429" s="646"/>
      <c r="E429" s="646"/>
      <c r="F429" s="287"/>
      <c r="G429" s="766" t="s">
        <v>164</v>
      </c>
      <c r="H429" s="773"/>
      <c r="I429" s="766"/>
      <c r="J429" s="766"/>
      <c r="K429" s="759"/>
      <c r="L429" s="759"/>
      <c r="M429" s="759"/>
      <c r="N429" s="1353">
        <v>20316000</v>
      </c>
      <c r="O429" s="1353"/>
      <c r="P429" s="1354"/>
    </row>
    <row r="430" spans="1:16" ht="30" customHeight="1">
      <c r="A430" s="34"/>
      <c r="B430" s="27"/>
      <c r="C430" s="27"/>
      <c r="D430" s="646"/>
      <c r="E430" s="646"/>
      <c r="F430" s="287"/>
      <c r="G430" s="759" t="s">
        <v>166</v>
      </c>
      <c r="H430" s="773"/>
      <c r="I430" s="759"/>
      <c r="J430" s="759"/>
      <c r="K430" s="759"/>
      <c r="L430" s="759"/>
      <c r="M430" s="759"/>
      <c r="N430" s="1353">
        <v>24445000</v>
      </c>
      <c r="O430" s="1353"/>
      <c r="P430" s="1354"/>
    </row>
    <row r="431" spans="1:16" ht="30" customHeight="1">
      <c r="A431" s="34"/>
      <c r="B431" s="27"/>
      <c r="C431" s="27"/>
      <c r="D431" s="646"/>
      <c r="E431" s="646"/>
      <c r="F431" s="287"/>
      <c r="G431" s="759" t="s">
        <v>165</v>
      </c>
      <c r="H431" s="773"/>
      <c r="I431" s="759"/>
      <c r="J431" s="759"/>
      <c r="K431" s="759"/>
      <c r="L431" s="759"/>
      <c r="M431" s="759"/>
      <c r="N431" s="1353">
        <f>17566000+5800000</f>
        <v>23366000</v>
      </c>
      <c r="O431" s="1353"/>
      <c r="P431" s="1354"/>
    </row>
    <row r="432" spans="1:16" ht="30" customHeight="1">
      <c r="A432" s="25"/>
      <c r="B432" s="27"/>
      <c r="C432" s="27"/>
      <c r="D432" s="646"/>
      <c r="E432" s="646"/>
      <c r="F432" s="287"/>
      <c r="G432" s="759" t="s">
        <v>168</v>
      </c>
      <c r="H432" s="773"/>
      <c r="I432" s="759"/>
      <c r="J432" s="759"/>
      <c r="K432" s="759"/>
      <c r="L432" s="759"/>
      <c r="M432" s="759"/>
      <c r="N432" s="1353">
        <f>9175000+2700000</f>
        <v>11875000</v>
      </c>
      <c r="O432" s="1353"/>
      <c r="P432" s="1354"/>
    </row>
    <row r="433" spans="1:16" ht="30" customHeight="1">
      <c r="A433" s="34"/>
      <c r="B433" s="27"/>
      <c r="C433" s="27"/>
      <c r="D433" s="646"/>
      <c r="E433" s="646"/>
      <c r="F433" s="287"/>
      <c r="G433" s="759" t="s">
        <v>167</v>
      </c>
      <c r="H433" s="773"/>
      <c r="I433" s="759"/>
      <c r="J433" s="759"/>
      <c r="K433" s="759"/>
      <c r="L433" s="759"/>
      <c r="M433" s="759"/>
      <c r="N433" s="1353">
        <f>48125000+3000000</f>
        <v>51125000</v>
      </c>
      <c r="O433" s="1353"/>
      <c r="P433" s="1354"/>
    </row>
    <row r="434" spans="1:16" ht="30" customHeight="1">
      <c r="A434" s="25"/>
      <c r="B434" s="27"/>
      <c r="C434" s="27"/>
      <c r="D434" s="646"/>
      <c r="E434" s="646"/>
      <c r="F434" s="287"/>
      <c r="G434" s="759" t="s">
        <v>170</v>
      </c>
      <c r="H434" s="773"/>
      <c r="I434" s="759"/>
      <c r="J434" s="759"/>
      <c r="K434" s="759"/>
      <c r="L434" s="759"/>
      <c r="M434" s="759"/>
      <c r="N434" s="1353">
        <f>11052000+5000000</f>
        <v>16052000</v>
      </c>
      <c r="O434" s="1353"/>
      <c r="P434" s="1354"/>
    </row>
    <row r="435" spans="1:16" ht="27.75" customHeight="1">
      <c r="A435" s="25"/>
      <c r="B435" s="27"/>
      <c r="C435" s="27"/>
      <c r="D435" s="646"/>
      <c r="E435" s="646"/>
      <c r="F435" s="287"/>
      <c r="G435" s="759" t="s">
        <v>169</v>
      </c>
      <c r="I435" s="759"/>
      <c r="J435" s="759"/>
      <c r="K435" s="759"/>
      <c r="L435" s="759"/>
      <c r="M435" s="759"/>
      <c r="N435" s="1353">
        <f>4902000+1500000</f>
        <v>6402000</v>
      </c>
      <c r="O435" s="1353"/>
      <c r="P435" s="1354"/>
    </row>
    <row r="436" spans="1:16" ht="27.75" customHeight="1">
      <c r="A436" s="25"/>
      <c r="B436" s="27"/>
      <c r="C436" s="27"/>
      <c r="D436" s="646"/>
      <c r="E436" s="646"/>
      <c r="F436" s="287"/>
      <c r="G436" s="759" t="s">
        <v>171</v>
      </c>
      <c r="H436" s="773"/>
      <c r="I436" s="759"/>
      <c r="J436" s="759"/>
      <c r="K436" s="759"/>
      <c r="L436" s="759"/>
      <c r="M436" s="759"/>
      <c r="N436" s="1353">
        <f>3200000</f>
        <v>3200000</v>
      </c>
      <c r="O436" s="1353"/>
      <c r="P436" s="1354"/>
    </row>
    <row r="437" spans="1:16" ht="27.75" customHeight="1">
      <c r="A437" s="25"/>
      <c r="B437" s="27"/>
      <c r="C437" s="27"/>
      <c r="D437" s="646"/>
      <c r="E437" s="646"/>
      <c r="F437" s="287"/>
      <c r="G437" s="759" t="s">
        <v>188</v>
      </c>
      <c r="H437" s="773"/>
      <c r="I437" s="759"/>
      <c r="J437" s="759"/>
      <c r="K437" s="759"/>
      <c r="L437" s="759"/>
      <c r="M437" s="759"/>
      <c r="N437" s="1353">
        <f>740000+1000000</f>
        <v>1740000</v>
      </c>
      <c r="O437" s="1353"/>
      <c r="P437" s="1354"/>
    </row>
    <row r="438" spans="1:16" ht="27.75" customHeight="1">
      <c r="A438" s="34"/>
      <c r="B438" s="27"/>
      <c r="C438" s="27"/>
      <c r="D438" s="646"/>
      <c r="E438" s="646"/>
      <c r="F438" s="287"/>
      <c r="G438" s="759" t="s">
        <v>75</v>
      </c>
      <c r="H438" s="773"/>
      <c r="I438" s="759"/>
      <c r="J438" s="759"/>
      <c r="K438" s="759"/>
      <c r="L438" s="759"/>
      <c r="M438" s="759"/>
      <c r="N438" s="1353">
        <f>2750000+3800000</f>
        <v>6550000</v>
      </c>
      <c r="O438" s="1353"/>
      <c r="P438" s="1354"/>
    </row>
    <row r="439" spans="1:16" ht="27.75" customHeight="1">
      <c r="A439" s="25"/>
      <c r="B439" s="27"/>
      <c r="C439" s="27"/>
      <c r="D439" s="646"/>
      <c r="E439" s="646"/>
      <c r="F439" s="287"/>
      <c r="G439" s="759" t="s">
        <v>172</v>
      </c>
      <c r="H439" s="773"/>
      <c r="I439" s="759"/>
      <c r="J439" s="759"/>
      <c r="K439" s="759"/>
      <c r="L439" s="759"/>
      <c r="M439" s="759"/>
      <c r="N439" s="1353">
        <f>3175000</f>
        <v>3175000</v>
      </c>
      <c r="O439" s="1353"/>
      <c r="P439" s="1354"/>
    </row>
    <row r="440" spans="1:16" ht="27.75" customHeight="1">
      <c r="A440" s="25"/>
      <c r="B440" s="27"/>
      <c r="C440" s="27"/>
      <c r="D440" s="646"/>
      <c r="E440" s="646"/>
      <c r="F440" s="287"/>
      <c r="G440" s="759" t="s">
        <v>645</v>
      </c>
      <c r="I440" s="759"/>
      <c r="J440" s="759"/>
      <c r="K440" s="759"/>
      <c r="L440" s="759"/>
      <c r="M440" s="759"/>
      <c r="N440" s="1353">
        <f>20752000+100000</f>
        <v>20852000</v>
      </c>
      <c r="O440" s="1353"/>
      <c r="P440" s="1354"/>
    </row>
    <row r="441" spans="1:16" ht="27.75" customHeight="1">
      <c r="A441" s="34"/>
      <c r="B441" s="27"/>
      <c r="C441" s="27"/>
      <c r="D441" s="646"/>
      <c r="E441" s="646"/>
      <c r="F441" s="287"/>
      <c r="G441" s="759" t="s">
        <v>173</v>
      </c>
      <c r="H441" s="773"/>
      <c r="I441" s="759"/>
      <c r="J441" s="759"/>
      <c r="K441" s="759"/>
      <c r="L441" s="759"/>
      <c r="M441" s="759"/>
      <c r="N441" s="1353">
        <f>5973000</f>
        <v>5973000</v>
      </c>
      <c r="O441" s="1353"/>
      <c r="P441" s="1354"/>
    </row>
    <row r="442" spans="1:16" ht="27.75" customHeight="1">
      <c r="A442" s="34"/>
      <c r="B442" s="27"/>
      <c r="C442" s="27"/>
      <c r="D442" s="646"/>
      <c r="E442" s="646"/>
      <c r="F442" s="287"/>
      <c r="G442" s="759" t="s">
        <v>193</v>
      </c>
      <c r="I442" s="759"/>
      <c r="J442" s="759"/>
      <c r="K442" s="759"/>
      <c r="L442" s="759"/>
      <c r="M442" s="759"/>
      <c r="N442" s="1353">
        <v>450000</v>
      </c>
      <c r="O442" s="1353"/>
      <c r="P442" s="1354"/>
    </row>
    <row r="443" spans="1:16" ht="27.75" customHeight="1">
      <c r="A443" s="34"/>
      <c r="B443" s="27"/>
      <c r="C443" s="27"/>
      <c r="D443" s="646"/>
      <c r="E443" s="646"/>
      <c r="F443" s="287"/>
      <c r="G443" s="759" t="s">
        <v>646</v>
      </c>
      <c r="I443" s="759"/>
      <c r="J443" s="759"/>
      <c r="K443" s="759"/>
      <c r="L443" s="759"/>
      <c r="M443" s="759"/>
      <c r="N443" s="1353">
        <v>550000</v>
      </c>
      <c r="O443" s="1353"/>
      <c r="P443" s="1354"/>
    </row>
    <row r="444" spans="1:16" ht="27.75" customHeight="1">
      <c r="A444" s="34"/>
      <c r="B444" s="27"/>
      <c r="C444" s="27"/>
      <c r="D444" s="646"/>
      <c r="E444" s="646"/>
      <c r="F444" s="287"/>
      <c r="G444" s="759" t="s">
        <v>647</v>
      </c>
      <c r="I444" s="759"/>
      <c r="J444" s="759"/>
      <c r="K444" s="759"/>
      <c r="L444" s="759"/>
      <c r="M444" s="759"/>
      <c r="N444" s="1353">
        <f>6100000</f>
        <v>6100000</v>
      </c>
      <c r="O444" s="1353"/>
      <c r="P444" s="1354"/>
    </row>
    <row r="445" spans="1:16" ht="27.75" customHeight="1">
      <c r="A445" s="34"/>
      <c r="B445" s="27"/>
      <c r="C445" s="27"/>
      <c r="D445" s="646"/>
      <c r="E445" s="646"/>
      <c r="F445" s="287"/>
      <c r="G445" s="759" t="s">
        <v>648</v>
      </c>
      <c r="I445" s="759"/>
      <c r="J445" s="759"/>
      <c r="K445" s="759"/>
      <c r="L445" s="759"/>
      <c r="M445" s="759"/>
      <c r="N445" s="1353">
        <f>8400000</f>
        <v>8400000</v>
      </c>
      <c r="O445" s="1353"/>
      <c r="P445" s="1354"/>
    </row>
    <row r="446" spans="1:16" ht="27.75" customHeight="1">
      <c r="A446" s="34"/>
      <c r="B446" s="27"/>
      <c r="C446" s="27"/>
      <c r="D446" s="646"/>
      <c r="E446" s="646"/>
      <c r="F446" s="287"/>
      <c r="G446" s="759" t="s">
        <v>649</v>
      </c>
      <c r="I446" s="759"/>
      <c r="J446" s="759"/>
      <c r="K446" s="759"/>
      <c r="L446" s="759"/>
      <c r="M446" s="759"/>
      <c r="N446" s="1353">
        <f>7000000</f>
        <v>7000000</v>
      </c>
      <c r="O446" s="1353"/>
      <c r="P446" s="1354"/>
    </row>
    <row r="447" spans="1:16" ht="27.75" customHeight="1">
      <c r="A447" s="34"/>
      <c r="B447" s="27"/>
      <c r="C447" s="27"/>
      <c r="D447" s="646"/>
      <c r="E447" s="646"/>
      <c r="F447" s="287"/>
      <c r="G447" s="759" t="s">
        <v>1288</v>
      </c>
      <c r="I447" s="759"/>
      <c r="J447" s="759"/>
      <c r="K447" s="759"/>
      <c r="L447" s="759"/>
      <c r="M447" s="759"/>
      <c r="N447" s="1353">
        <v>25964000</v>
      </c>
      <c r="O447" s="1353"/>
      <c r="P447" s="1354"/>
    </row>
    <row r="448" spans="1:16" ht="27.75" customHeight="1">
      <c r="A448" s="34"/>
      <c r="B448" s="27"/>
      <c r="C448" s="27"/>
      <c r="D448" s="646"/>
      <c r="E448" s="646"/>
      <c r="F448" s="287"/>
      <c r="G448" s="1368" t="s">
        <v>359</v>
      </c>
      <c r="H448" s="1369"/>
      <c r="I448" s="759"/>
      <c r="J448" s="759"/>
      <c r="K448" s="759"/>
      <c r="L448" s="759"/>
      <c r="M448" s="759"/>
      <c r="N448" s="761"/>
      <c r="O448" s="761"/>
      <c r="P448" s="762">
        <f>SUM(N428:P447)</f>
        <v>262255000</v>
      </c>
    </row>
    <row r="449" spans="1:16" ht="27.75" customHeight="1">
      <c r="A449" s="25"/>
      <c r="B449" s="27"/>
      <c r="C449" s="27"/>
      <c r="D449" s="646"/>
      <c r="E449" s="646"/>
      <c r="F449" s="287"/>
      <c r="G449" s="1368" t="s">
        <v>4</v>
      </c>
      <c r="H449" s="1369"/>
      <c r="I449" s="759"/>
      <c r="J449" s="759"/>
      <c r="K449" s="759"/>
      <c r="L449" s="759"/>
      <c r="M449" s="872"/>
      <c r="N449" s="1353">
        <f>SUM(N426+P448)</f>
        <v>424255000</v>
      </c>
      <c r="O449" s="1353"/>
      <c r="P449" s="1354"/>
    </row>
    <row r="450" spans="1:16" ht="30" customHeight="1">
      <c r="A450" s="25"/>
      <c r="B450" s="27"/>
      <c r="C450" s="28">
        <v>4324</v>
      </c>
      <c r="D450" s="647"/>
      <c r="E450" s="647"/>
      <c r="F450" s="288"/>
      <c r="G450" s="763"/>
      <c r="H450" s="816"/>
      <c r="I450" s="783"/>
      <c r="J450" s="783"/>
      <c r="K450" s="783"/>
      <c r="L450" s="783"/>
      <c r="M450" s="783"/>
      <c r="N450" s="784"/>
      <c r="O450" s="784"/>
      <c r="P450" s="785"/>
    </row>
    <row r="451" spans="1:16" ht="30" customHeight="1">
      <c r="A451" s="25"/>
      <c r="B451" s="27"/>
      <c r="C451" s="27" t="s">
        <v>280</v>
      </c>
      <c r="D451" s="646">
        <v>10200</v>
      </c>
      <c r="E451" s="655">
        <v>39050</v>
      </c>
      <c r="F451" s="287">
        <f>D451-E451</f>
        <v>-28850</v>
      </c>
      <c r="G451" s="781" t="s">
        <v>337</v>
      </c>
      <c r="H451" s="773"/>
      <c r="I451" s="773"/>
      <c r="J451" s="773"/>
      <c r="K451" s="773"/>
      <c r="L451" s="773"/>
      <c r="M451" s="773"/>
      <c r="N451" s="793"/>
      <c r="O451" s="793"/>
      <c r="P451" s="794"/>
    </row>
    <row r="452" spans="1:16" ht="30" customHeight="1">
      <c r="A452" s="25"/>
      <c r="B452" s="27"/>
      <c r="C452" s="27"/>
      <c r="D452" s="646"/>
      <c r="E452" s="646"/>
      <c r="F452" s="287"/>
      <c r="G452" s="773" t="s">
        <v>1019</v>
      </c>
      <c r="H452" s="773"/>
      <c r="I452" s="773"/>
      <c r="J452" s="773"/>
      <c r="K452" s="773"/>
      <c r="L452" s="773"/>
      <c r="M452" s="773"/>
      <c r="N452" s="1353">
        <v>8000000</v>
      </c>
      <c r="O452" s="1353"/>
      <c r="P452" s="1354"/>
    </row>
    <row r="453" spans="1:16" ht="30" customHeight="1">
      <c r="A453" s="25"/>
      <c r="B453" s="27"/>
      <c r="C453" s="27"/>
      <c r="D453" s="646"/>
      <c r="E453" s="646"/>
      <c r="F453" s="287"/>
      <c r="G453" s="1368" t="s">
        <v>383</v>
      </c>
      <c r="H453" s="1369"/>
      <c r="I453" s="773"/>
      <c r="J453" s="773"/>
      <c r="K453" s="773"/>
      <c r="L453" s="773"/>
      <c r="M453" s="773"/>
      <c r="N453" s="1353">
        <f>SUM(N452)</f>
        <v>8000000</v>
      </c>
      <c r="O453" s="1353"/>
      <c r="P453" s="1354"/>
    </row>
    <row r="454" spans="1:16" ht="25.5" customHeight="1">
      <c r="A454" s="25"/>
      <c r="B454" s="27"/>
      <c r="C454" s="27"/>
      <c r="D454" s="646"/>
      <c r="E454" s="646"/>
      <c r="F454" s="287"/>
      <c r="G454" s="781" t="s">
        <v>148</v>
      </c>
      <c r="H454" s="1060"/>
      <c r="I454" s="759"/>
      <c r="J454" s="759"/>
      <c r="K454" s="759"/>
      <c r="L454" s="759"/>
      <c r="M454" s="759"/>
      <c r="N454" s="761"/>
      <c r="O454" s="761"/>
      <c r="P454" s="762"/>
    </row>
    <row r="455" spans="1:16" ht="25.5" customHeight="1">
      <c r="A455" s="25"/>
      <c r="B455" s="27"/>
      <c r="C455" s="27"/>
      <c r="D455" s="646"/>
      <c r="E455" s="646"/>
      <c r="F455" s="287"/>
      <c r="G455" s="1060" t="s">
        <v>174</v>
      </c>
      <c r="H455" s="773"/>
      <c r="I455" s="759"/>
      <c r="J455" s="759"/>
      <c r="K455" s="759"/>
      <c r="L455" s="759"/>
      <c r="M455" s="759"/>
      <c r="N455" s="1353">
        <v>2200000</v>
      </c>
      <c r="O455" s="1353"/>
      <c r="P455" s="1354"/>
    </row>
    <row r="456" spans="1:16" ht="25.5" customHeight="1">
      <c r="A456" s="25"/>
      <c r="B456" s="27"/>
      <c r="C456" s="27"/>
      <c r="D456" s="646"/>
      <c r="E456" s="646"/>
      <c r="F456" s="287"/>
      <c r="G456" s="1368" t="s">
        <v>359</v>
      </c>
      <c r="H456" s="1369"/>
      <c r="I456" s="759"/>
      <c r="J456" s="759"/>
      <c r="K456" s="759"/>
      <c r="L456" s="759"/>
      <c r="M456" s="759"/>
      <c r="N456" s="761"/>
      <c r="O456" s="761"/>
      <c r="P456" s="762">
        <f>SUM(N455)</f>
        <v>2200000</v>
      </c>
    </row>
    <row r="457" spans="1:16" ht="25.5" customHeight="1">
      <c r="A457" s="25"/>
      <c r="B457" s="27"/>
      <c r="C457" s="24"/>
      <c r="D457" s="645"/>
      <c r="E457" s="645"/>
      <c r="F457" s="286"/>
      <c r="G457" s="1386" t="s">
        <v>4</v>
      </c>
      <c r="H457" s="1387"/>
      <c r="I457" s="756"/>
      <c r="J457" s="756"/>
      <c r="K457" s="756"/>
      <c r="L457" s="756"/>
      <c r="M457" s="756"/>
      <c r="N457" s="1375">
        <f>SUM(N453+P456)</f>
        <v>10200000</v>
      </c>
      <c r="O457" s="1375"/>
      <c r="P457" s="1376"/>
    </row>
    <row r="458" spans="1:16" ht="30" customHeight="1">
      <c r="A458" s="25"/>
      <c r="B458" s="27"/>
      <c r="C458" s="27">
        <v>4325</v>
      </c>
      <c r="D458" s="646"/>
      <c r="E458" s="646"/>
      <c r="F458" s="287"/>
      <c r="G458" s="781" t="s">
        <v>3</v>
      </c>
      <c r="H458" s="796"/>
      <c r="I458" s="759"/>
      <c r="J458" s="759"/>
      <c r="K458" s="759"/>
      <c r="L458" s="759"/>
      <c r="M458" s="759"/>
      <c r="N458" s="761"/>
      <c r="O458" s="761"/>
      <c r="P458" s="762"/>
    </row>
    <row r="459" spans="1:16" ht="30" customHeight="1">
      <c r="A459" s="25"/>
      <c r="B459" s="27"/>
      <c r="C459" s="27" t="s">
        <v>281</v>
      </c>
      <c r="D459" s="646">
        <v>250755</v>
      </c>
      <c r="E459" s="655">
        <v>522100</v>
      </c>
      <c r="F459" s="287">
        <f>D459-E459</f>
        <v>-271345</v>
      </c>
      <c r="G459" s="781" t="s">
        <v>337</v>
      </c>
      <c r="H459" s="796"/>
      <c r="I459" s="759"/>
      <c r="J459" s="759"/>
      <c r="K459" s="759"/>
      <c r="L459" s="759"/>
      <c r="M459" s="759"/>
      <c r="N459" s="761"/>
      <c r="O459" s="761"/>
      <c r="P459" s="762"/>
    </row>
    <row r="460" spans="1:16" ht="30" customHeight="1">
      <c r="A460" s="25"/>
      <c r="B460" s="27"/>
      <c r="C460" s="27"/>
      <c r="D460" s="646"/>
      <c r="E460" s="646"/>
      <c r="F460" s="287"/>
      <c r="G460" s="773" t="s">
        <v>940</v>
      </c>
      <c r="H460" s="773"/>
      <c r="I460" s="773"/>
      <c r="J460" s="773"/>
      <c r="K460" s="773"/>
      <c r="L460" s="773"/>
      <c r="M460" s="773"/>
      <c r="N460" s="1353">
        <v>10000000</v>
      </c>
      <c r="O460" s="1353"/>
      <c r="P460" s="1354"/>
    </row>
    <row r="461" spans="1:16" ht="30" customHeight="1">
      <c r="A461" s="25"/>
      <c r="B461" s="27"/>
      <c r="C461" s="27"/>
      <c r="D461" s="646"/>
      <c r="E461" s="646"/>
      <c r="F461" s="287"/>
      <c r="G461" s="1368" t="s">
        <v>383</v>
      </c>
      <c r="H461" s="1369"/>
      <c r="I461" s="773"/>
      <c r="J461" s="773"/>
      <c r="K461" s="773"/>
      <c r="L461" s="773"/>
      <c r="M461" s="773"/>
      <c r="N461" s="1353">
        <f>SUM(N460:P460)</f>
        <v>10000000</v>
      </c>
      <c r="O461" s="1353"/>
      <c r="P461" s="1354"/>
    </row>
    <row r="462" spans="1:16" ht="27.75" customHeight="1">
      <c r="A462" s="25"/>
      <c r="B462" s="27"/>
      <c r="C462" s="27"/>
      <c r="D462" s="646"/>
      <c r="E462" s="646"/>
      <c r="F462" s="287"/>
      <c r="G462" s="781" t="s">
        <v>401</v>
      </c>
      <c r="H462" s="796"/>
      <c r="I462" s="759"/>
      <c r="J462" s="759"/>
      <c r="K462" s="759"/>
      <c r="L462" s="759"/>
      <c r="M462" s="759"/>
      <c r="N462" s="1351" t="s">
        <v>402</v>
      </c>
      <c r="O462" s="1351"/>
      <c r="P462" s="1352"/>
    </row>
    <row r="463" spans="1:16" ht="27.75" customHeight="1">
      <c r="A463" s="25"/>
      <c r="B463" s="27"/>
      <c r="C463" s="27"/>
      <c r="D463" s="646"/>
      <c r="E463" s="646"/>
      <c r="F463" s="287"/>
      <c r="G463" s="796" t="s">
        <v>403</v>
      </c>
      <c r="H463" s="773"/>
      <c r="I463" s="759"/>
      <c r="J463" s="759"/>
      <c r="K463" s="759"/>
      <c r="L463" s="759"/>
      <c r="M463" s="759"/>
      <c r="N463" s="1353">
        <v>50000000</v>
      </c>
      <c r="O463" s="1353"/>
      <c r="P463" s="1354"/>
    </row>
    <row r="464" spans="1:16" ht="27.75" customHeight="1">
      <c r="A464" s="25"/>
      <c r="B464" s="27"/>
      <c r="C464" s="27"/>
      <c r="D464" s="646"/>
      <c r="E464" s="646"/>
      <c r="F464" s="287"/>
      <c r="G464" s="1060" t="s">
        <v>404</v>
      </c>
      <c r="H464" s="773"/>
      <c r="I464" s="759"/>
      <c r="J464" s="759"/>
      <c r="K464" s="759"/>
      <c r="L464" s="759"/>
      <c r="M464" s="759"/>
      <c r="N464" s="1353">
        <v>25000000</v>
      </c>
      <c r="O464" s="1353"/>
      <c r="P464" s="1354"/>
    </row>
    <row r="465" spans="1:16" ht="27.75" customHeight="1">
      <c r="A465" s="25"/>
      <c r="B465" s="27"/>
      <c r="C465" s="27"/>
      <c r="D465" s="646"/>
      <c r="E465" s="646"/>
      <c r="F465" s="287"/>
      <c r="G465" s="1060" t="s">
        <v>640</v>
      </c>
      <c r="H465" s="773"/>
      <c r="I465" s="759"/>
      <c r="J465" s="759"/>
      <c r="K465" s="759"/>
      <c r="L465" s="759"/>
      <c r="M465" s="759"/>
      <c r="N465" s="1353">
        <v>20000000</v>
      </c>
      <c r="O465" s="1353"/>
      <c r="P465" s="1354"/>
    </row>
    <row r="466" spans="1:16" ht="27.75" customHeight="1">
      <c r="A466" s="25"/>
      <c r="B466" s="27"/>
      <c r="C466" s="27"/>
      <c r="D466" s="646"/>
      <c r="E466" s="646"/>
      <c r="F466" s="287"/>
      <c r="G466" s="1421" t="s">
        <v>405</v>
      </c>
      <c r="H466" s="1422"/>
      <c r="I466" s="1422"/>
      <c r="J466" s="1422"/>
      <c r="K466" s="1422"/>
      <c r="L466" s="1422"/>
      <c r="M466" s="1422"/>
      <c r="N466" s="1353">
        <v>7000000</v>
      </c>
      <c r="O466" s="1353"/>
      <c r="P466" s="1354"/>
    </row>
    <row r="467" spans="1:16" ht="27.75" customHeight="1">
      <c r="A467" s="25"/>
      <c r="B467" s="27"/>
      <c r="C467" s="27"/>
      <c r="D467" s="646"/>
      <c r="E467" s="646"/>
      <c r="F467" s="287"/>
      <c r="G467" s="1060" t="s">
        <v>638</v>
      </c>
      <c r="I467" s="759"/>
      <c r="J467" s="759"/>
      <c r="K467" s="759"/>
      <c r="L467" s="759"/>
      <c r="M467" s="759"/>
      <c r="N467" s="1353">
        <v>25000000</v>
      </c>
      <c r="O467" s="1353"/>
      <c r="P467" s="1354"/>
    </row>
    <row r="468" spans="1:16" ht="27.75" customHeight="1">
      <c r="A468" s="25"/>
      <c r="B468" s="27"/>
      <c r="C468" s="27"/>
      <c r="D468" s="646"/>
      <c r="E468" s="646"/>
      <c r="F468" s="287"/>
      <c r="G468" s="1060" t="s">
        <v>406</v>
      </c>
      <c r="I468" s="759"/>
      <c r="J468" s="759"/>
      <c r="K468" s="759"/>
      <c r="L468" s="759"/>
      <c r="M468" s="759"/>
      <c r="N468" s="1353">
        <v>13000000</v>
      </c>
      <c r="O468" s="1353"/>
      <c r="P468" s="1354"/>
    </row>
    <row r="469" spans="1:16" ht="27.75" customHeight="1">
      <c r="A469" s="25"/>
      <c r="B469" s="27"/>
      <c r="C469" s="27"/>
      <c r="D469" s="646"/>
      <c r="E469" s="646"/>
      <c r="F469" s="287"/>
      <c r="G469" s="1060" t="s">
        <v>639</v>
      </c>
      <c r="I469" s="759"/>
      <c r="J469" s="759"/>
      <c r="K469" s="759"/>
      <c r="L469" s="759"/>
      <c r="M469" s="759"/>
      <c r="N469" s="1353">
        <v>5700000</v>
      </c>
      <c r="O469" s="1353"/>
      <c r="P469" s="1354"/>
    </row>
    <row r="470" spans="1:16" ht="27.75" customHeight="1">
      <c r="A470" s="25"/>
      <c r="B470" s="27"/>
      <c r="C470" s="27"/>
      <c r="D470" s="646"/>
      <c r="E470" s="646"/>
      <c r="F470" s="287"/>
      <c r="G470" s="1060" t="s">
        <v>407</v>
      </c>
      <c r="H470" s="773"/>
      <c r="I470" s="759"/>
      <c r="J470" s="759"/>
      <c r="K470" s="759"/>
      <c r="L470" s="759"/>
      <c r="M470" s="759"/>
      <c r="N470" s="1353">
        <v>30000000</v>
      </c>
      <c r="O470" s="1353"/>
      <c r="P470" s="1354"/>
    </row>
    <row r="471" spans="1:16" ht="27.75" customHeight="1">
      <c r="A471" s="25"/>
      <c r="B471" s="27"/>
      <c r="C471" s="27"/>
      <c r="D471" s="646"/>
      <c r="E471" s="646"/>
      <c r="F471" s="287"/>
      <c r="G471" s="1060" t="s">
        <v>1289</v>
      </c>
      <c r="H471" s="773"/>
      <c r="I471" s="759"/>
      <c r="J471" s="759"/>
      <c r="K471" s="759"/>
      <c r="L471" s="759"/>
      <c r="M471" s="759"/>
      <c r="N471" s="761"/>
      <c r="O471" s="761"/>
      <c r="P471" s="762">
        <v>65055000</v>
      </c>
    </row>
    <row r="472" spans="1:16" ht="27.75" customHeight="1">
      <c r="A472" s="25"/>
      <c r="B472" s="27"/>
      <c r="C472" s="27"/>
      <c r="D472" s="646"/>
      <c r="E472" s="646"/>
      <c r="F472" s="287"/>
      <c r="G472" s="1368" t="s">
        <v>359</v>
      </c>
      <c r="H472" s="1369"/>
      <c r="I472" s="759"/>
      <c r="J472" s="759"/>
      <c r="K472" s="759"/>
      <c r="L472" s="759"/>
      <c r="M472" s="760"/>
      <c r="N472" s="1353">
        <f>SUM(N463:P471)</f>
        <v>240755000</v>
      </c>
      <c r="O472" s="1353"/>
      <c r="P472" s="1354"/>
    </row>
    <row r="473" spans="1:16" ht="27.75" customHeight="1">
      <c r="A473" s="23"/>
      <c r="B473" s="24"/>
      <c r="C473" s="24"/>
      <c r="D473" s="645"/>
      <c r="E473" s="645"/>
      <c r="F473" s="286"/>
      <c r="G473" s="1386" t="s">
        <v>4</v>
      </c>
      <c r="H473" s="1387"/>
      <c r="I473" s="756"/>
      <c r="J473" s="756"/>
      <c r="K473" s="756"/>
      <c r="L473" s="756"/>
      <c r="M473" s="768"/>
      <c r="N473" s="1375">
        <f>+N461+N472</f>
        <v>250755000</v>
      </c>
      <c r="O473" s="1375"/>
      <c r="P473" s="1376"/>
    </row>
    <row r="474" spans="1:16" ht="30.75" customHeight="1">
      <c r="A474" s="25"/>
      <c r="B474" s="27"/>
      <c r="C474" s="27">
        <v>4329</v>
      </c>
      <c r="D474" s="646"/>
      <c r="E474" s="646"/>
      <c r="F474" s="287"/>
      <c r="G474" s="759" t="s">
        <v>3</v>
      </c>
      <c r="H474" s="759"/>
      <c r="I474" s="759"/>
      <c r="J474" s="759"/>
      <c r="K474" s="759"/>
      <c r="L474" s="759"/>
      <c r="M474" s="759"/>
      <c r="N474" s="1397"/>
      <c r="O474" s="1397"/>
      <c r="P474" s="1398"/>
    </row>
    <row r="475" spans="1:16" ht="30.75" customHeight="1">
      <c r="A475" s="25"/>
      <c r="B475" s="27"/>
      <c r="C475" s="32" t="s">
        <v>282</v>
      </c>
      <c r="D475" s="646">
        <v>54504</v>
      </c>
      <c r="E475" s="655">
        <v>136000</v>
      </c>
      <c r="F475" s="287">
        <f>D475-E475</f>
        <v>-81496</v>
      </c>
      <c r="G475" s="781" t="s">
        <v>651</v>
      </c>
      <c r="H475" s="773"/>
      <c r="I475" s="773"/>
      <c r="J475" s="773"/>
      <c r="K475" s="773"/>
      <c r="L475" s="773"/>
      <c r="M475" s="773"/>
      <c r="N475" s="1359" t="s">
        <v>652</v>
      </c>
      <c r="O475" s="1359"/>
      <c r="P475" s="1360"/>
    </row>
    <row r="476" spans="1:16" ht="30.75" customHeight="1">
      <c r="A476" s="25"/>
      <c r="B476" s="27"/>
      <c r="C476" s="27"/>
      <c r="D476" s="646"/>
      <c r="E476" s="646"/>
      <c r="F476" s="287"/>
      <c r="G476" s="781" t="s">
        <v>941</v>
      </c>
      <c r="H476" s="796"/>
      <c r="I476" s="759"/>
      <c r="J476" s="759"/>
      <c r="K476" s="759"/>
      <c r="L476" s="759"/>
      <c r="M476" s="759"/>
      <c r="N476" s="1353">
        <v>10000000</v>
      </c>
      <c r="O476" s="1353"/>
      <c r="P476" s="1354"/>
    </row>
    <row r="477" spans="1:16" ht="30.75" customHeight="1">
      <c r="A477" s="34"/>
      <c r="B477" s="27"/>
      <c r="C477" s="27"/>
      <c r="D477" s="646"/>
      <c r="E477" s="646"/>
      <c r="F477" s="287"/>
      <c r="G477" s="1368" t="s">
        <v>383</v>
      </c>
      <c r="H477" s="1369"/>
      <c r="I477" s="759"/>
      <c r="J477" s="759"/>
      <c r="K477" s="759"/>
      <c r="L477" s="759"/>
      <c r="M477" s="759"/>
      <c r="N477" s="1353">
        <f>SUM(N475:P476)</f>
        <v>10000000</v>
      </c>
      <c r="O477" s="1353"/>
      <c r="P477" s="1354"/>
    </row>
    <row r="478" spans="1:16" ht="30.75" customHeight="1">
      <c r="A478" s="34"/>
      <c r="B478" s="27"/>
      <c r="C478" s="27"/>
      <c r="D478" s="646"/>
      <c r="E478" s="646"/>
      <c r="F478" s="287"/>
      <c r="G478" s="781" t="s">
        <v>401</v>
      </c>
      <c r="H478" s="796"/>
      <c r="I478" s="759"/>
      <c r="J478" s="759"/>
      <c r="K478" s="759"/>
      <c r="L478" s="759"/>
      <c r="M478" s="759"/>
      <c r="N478" s="1351" t="s">
        <v>402</v>
      </c>
      <c r="O478" s="1351"/>
      <c r="P478" s="1352"/>
    </row>
    <row r="479" spans="1:16" ht="30.75" customHeight="1">
      <c r="A479" s="34"/>
      <c r="B479" s="27"/>
      <c r="C479" s="27"/>
      <c r="D479" s="646"/>
      <c r="E479" s="646"/>
      <c r="F479" s="287"/>
      <c r="G479" s="796" t="s">
        <v>408</v>
      </c>
      <c r="H479" s="773"/>
      <c r="I479" s="759"/>
      <c r="J479" s="759"/>
      <c r="K479" s="759"/>
      <c r="L479" s="759"/>
      <c r="M479" s="759"/>
      <c r="N479" s="1353">
        <v>17000000</v>
      </c>
      <c r="O479" s="1353"/>
      <c r="P479" s="1354"/>
    </row>
    <row r="480" spans="1:16" ht="27" customHeight="1">
      <c r="A480" s="34"/>
      <c r="B480" s="27"/>
      <c r="C480" s="27"/>
      <c r="D480" s="646"/>
      <c r="E480" s="646"/>
      <c r="F480" s="287"/>
      <c r="G480" s="796" t="s">
        <v>409</v>
      </c>
      <c r="H480" s="773"/>
      <c r="I480" s="759"/>
      <c r="J480" s="759"/>
      <c r="K480" s="759"/>
      <c r="L480" s="759"/>
      <c r="M480" s="759"/>
      <c r="N480" s="1353">
        <v>17000000</v>
      </c>
      <c r="O480" s="1353"/>
      <c r="P480" s="1354"/>
    </row>
    <row r="481" spans="1:16" ht="27" customHeight="1">
      <c r="A481" s="34"/>
      <c r="B481" s="27"/>
      <c r="C481" s="27"/>
      <c r="D481" s="646"/>
      <c r="E481" s="646"/>
      <c r="F481" s="287"/>
      <c r="G481" s="796" t="s">
        <v>641</v>
      </c>
      <c r="H481" s="773"/>
      <c r="I481" s="759"/>
      <c r="J481" s="759"/>
      <c r="K481" s="759"/>
      <c r="L481" s="759"/>
      <c r="M481" s="759"/>
      <c r="N481" s="1353">
        <v>2580000</v>
      </c>
      <c r="O481" s="1353"/>
      <c r="P481" s="1354"/>
    </row>
    <row r="482" spans="1:16" ht="27" customHeight="1">
      <c r="A482" s="34"/>
      <c r="B482" s="27"/>
      <c r="C482" s="27"/>
      <c r="D482" s="646"/>
      <c r="E482" s="646"/>
      <c r="F482" s="287"/>
      <c r="G482" s="796" t="s">
        <v>1153</v>
      </c>
      <c r="H482" s="773"/>
      <c r="I482" s="759"/>
      <c r="J482" s="759"/>
      <c r="K482" s="759"/>
      <c r="L482" s="759"/>
      <c r="M482" s="759"/>
      <c r="N482" s="1353">
        <v>7924000</v>
      </c>
      <c r="O482" s="1353"/>
      <c r="P482" s="1354"/>
    </row>
    <row r="483" spans="1:16" ht="27" customHeight="1">
      <c r="A483" s="34"/>
      <c r="B483" s="27"/>
      <c r="C483" s="27"/>
      <c r="D483" s="646"/>
      <c r="E483" s="646"/>
      <c r="F483" s="287"/>
      <c r="G483" s="1368" t="s">
        <v>359</v>
      </c>
      <c r="H483" s="1369"/>
      <c r="I483" s="759"/>
      <c r="J483" s="759"/>
      <c r="K483" s="759"/>
      <c r="L483" s="759"/>
      <c r="M483" s="759"/>
      <c r="N483" s="1353">
        <f>SUM(N479:P482)</f>
        <v>44504000</v>
      </c>
      <c r="O483" s="1353"/>
      <c r="P483" s="1354"/>
    </row>
    <row r="484" spans="1:16" ht="27" customHeight="1">
      <c r="A484" s="34"/>
      <c r="B484" s="27"/>
      <c r="C484" s="24"/>
      <c r="D484" s="645"/>
      <c r="E484" s="645"/>
      <c r="F484" s="286"/>
      <c r="G484" s="1386" t="s">
        <v>4</v>
      </c>
      <c r="H484" s="1387"/>
      <c r="I484" s="756"/>
      <c r="J484" s="756"/>
      <c r="K484" s="756"/>
      <c r="L484" s="756"/>
      <c r="M484" s="756"/>
      <c r="N484" s="1375">
        <f>SUM(N477+N483)</f>
        <v>54504000</v>
      </c>
      <c r="O484" s="1375"/>
      <c r="P484" s="1376"/>
    </row>
    <row r="485" spans="1:16" ht="21" customHeight="1">
      <c r="A485" s="34"/>
      <c r="B485" s="28">
        <v>4330</v>
      </c>
      <c r="C485" s="28"/>
      <c r="D485" s="647"/>
      <c r="E485" s="647"/>
      <c r="F485" s="288"/>
      <c r="G485" s="783"/>
      <c r="H485" s="783"/>
      <c r="I485" s="783"/>
      <c r="J485" s="783"/>
      <c r="K485" s="783"/>
      <c r="L485" s="783"/>
      <c r="M485" s="783"/>
      <c r="N485" s="784"/>
      <c r="O485" s="784"/>
      <c r="P485" s="785"/>
    </row>
    <row r="486" spans="1:16" ht="30" customHeight="1">
      <c r="A486" s="25"/>
      <c r="B486" s="27" t="s">
        <v>283</v>
      </c>
      <c r="C486" s="24"/>
      <c r="D486" s="645">
        <f>D488+D496</f>
        <v>0</v>
      </c>
      <c r="E486" s="645">
        <f>E488+E496</f>
        <v>0</v>
      </c>
      <c r="F486" s="286">
        <f>D486-E486</f>
        <v>0</v>
      </c>
      <c r="G486" s="756"/>
      <c r="H486" s="756"/>
      <c r="I486" s="756"/>
      <c r="J486" s="756"/>
      <c r="K486" s="756"/>
      <c r="L486" s="756"/>
      <c r="M486" s="756"/>
      <c r="N486" s="757"/>
      <c r="O486" s="757"/>
      <c r="P486" s="758"/>
    </row>
    <row r="487" spans="1:16" ht="26.25" customHeight="1">
      <c r="A487" s="34"/>
      <c r="B487" s="27"/>
      <c r="C487" s="27">
        <v>4331</v>
      </c>
      <c r="D487" s="646"/>
      <c r="E487" s="646"/>
      <c r="F487" s="287"/>
      <c r="G487" s="773"/>
      <c r="H487" s="759"/>
      <c r="I487" s="759"/>
      <c r="J487" s="759"/>
      <c r="K487" s="759"/>
      <c r="L487" s="759"/>
      <c r="M487" s="759"/>
      <c r="N487" s="761"/>
      <c r="O487" s="761"/>
      <c r="P487" s="762"/>
    </row>
    <row r="488" spans="1:16" ht="27.75" customHeight="1">
      <c r="A488" s="34"/>
      <c r="B488" s="27"/>
      <c r="C488" s="27" t="s">
        <v>284</v>
      </c>
      <c r="D488" s="646">
        <v>0</v>
      </c>
      <c r="E488" s="646">
        <v>0</v>
      </c>
      <c r="F488" s="287">
        <f>D488-E488</f>
        <v>0</v>
      </c>
      <c r="G488" s="759"/>
      <c r="H488" s="773"/>
      <c r="I488" s="773"/>
      <c r="J488" s="773"/>
      <c r="K488" s="773"/>
      <c r="L488" s="773"/>
      <c r="M488" s="773"/>
      <c r="N488" s="793"/>
      <c r="O488" s="793"/>
      <c r="P488" s="794"/>
    </row>
    <row r="489" spans="1:16" ht="30" customHeight="1" hidden="1">
      <c r="A489" s="34"/>
      <c r="B489" s="27"/>
      <c r="C489" s="27"/>
      <c r="D489" s="646"/>
      <c r="E489" s="646"/>
      <c r="F489" s="287"/>
      <c r="G489" s="773"/>
      <c r="H489" s="773"/>
      <c r="I489" s="773"/>
      <c r="J489" s="773"/>
      <c r="K489" s="773"/>
      <c r="L489" s="773"/>
      <c r="M489" s="773"/>
      <c r="N489" s="1353"/>
      <c r="O489" s="1353"/>
      <c r="P489" s="1354"/>
    </row>
    <row r="490" spans="1:16" ht="30" customHeight="1" hidden="1">
      <c r="A490" s="34"/>
      <c r="B490" s="27"/>
      <c r="C490" s="27"/>
      <c r="D490" s="646"/>
      <c r="E490" s="646"/>
      <c r="F490" s="287"/>
      <c r="G490" s="1368"/>
      <c r="H490" s="1369"/>
      <c r="I490" s="773"/>
      <c r="J490" s="773"/>
      <c r="K490" s="773"/>
      <c r="L490" s="773"/>
      <c r="M490" s="773"/>
      <c r="N490" s="1353"/>
      <c r="O490" s="1353"/>
      <c r="P490" s="1354"/>
    </row>
    <row r="491" spans="1:16" ht="30" customHeight="1" hidden="1">
      <c r="A491" s="34"/>
      <c r="B491" s="27"/>
      <c r="C491" s="27"/>
      <c r="D491" s="646"/>
      <c r="E491" s="646"/>
      <c r="F491" s="287"/>
      <c r="G491" s="781"/>
      <c r="H491" s="796"/>
      <c r="I491" s="759"/>
      <c r="J491" s="759"/>
      <c r="K491" s="759"/>
      <c r="L491" s="759"/>
      <c r="M491" s="759"/>
      <c r="N491" s="1351"/>
      <c r="O491" s="1351"/>
      <c r="P491" s="1352"/>
    </row>
    <row r="492" spans="1:16" ht="30" customHeight="1" hidden="1">
      <c r="A492" s="34"/>
      <c r="B492" s="27"/>
      <c r="C492" s="27"/>
      <c r="D492" s="646"/>
      <c r="E492" s="646"/>
      <c r="F492" s="287"/>
      <c r="G492" s="773"/>
      <c r="H492" s="796"/>
      <c r="I492" s="759"/>
      <c r="J492" s="759"/>
      <c r="K492" s="759"/>
      <c r="L492" s="759"/>
      <c r="M492" s="759"/>
      <c r="N492" s="1353"/>
      <c r="O492" s="1353"/>
      <c r="P492" s="1354"/>
    </row>
    <row r="493" spans="1:16" ht="30" customHeight="1" hidden="1">
      <c r="A493" s="34"/>
      <c r="B493" s="27"/>
      <c r="C493" s="27"/>
      <c r="D493" s="646"/>
      <c r="E493" s="646"/>
      <c r="F493" s="287"/>
      <c r="G493" s="1368"/>
      <c r="H493" s="1369"/>
      <c r="I493" s="759"/>
      <c r="J493" s="759"/>
      <c r="K493" s="759"/>
      <c r="L493" s="759"/>
      <c r="M493" s="759"/>
      <c r="N493" s="761"/>
      <c r="O493" s="761"/>
      <c r="P493" s="762"/>
    </row>
    <row r="494" spans="1:16" ht="30" customHeight="1">
      <c r="A494" s="34"/>
      <c r="B494" s="27"/>
      <c r="C494" s="27"/>
      <c r="D494" s="646"/>
      <c r="E494" s="646"/>
      <c r="F494" s="287"/>
      <c r="G494" s="1368"/>
      <c r="H494" s="1369"/>
      <c r="I494" s="759"/>
      <c r="J494" s="759"/>
      <c r="K494" s="759"/>
      <c r="L494" s="759"/>
      <c r="M494" s="759"/>
      <c r="N494" s="1353"/>
      <c r="O494" s="1353"/>
      <c r="P494" s="1354"/>
    </row>
    <row r="495" spans="1:16" ht="24" customHeight="1">
      <c r="A495" s="34"/>
      <c r="B495" s="27"/>
      <c r="C495" s="28">
        <v>4332</v>
      </c>
      <c r="D495" s="647"/>
      <c r="E495" s="647"/>
      <c r="F495" s="288"/>
      <c r="G495" s="763"/>
      <c r="H495" s="880"/>
      <c r="I495" s="880"/>
      <c r="J495" s="880"/>
      <c r="K495" s="783"/>
      <c r="L495" s="783"/>
      <c r="M495" s="783"/>
      <c r="N495" s="1397"/>
      <c r="O495" s="1397"/>
      <c r="P495" s="1398"/>
    </row>
    <row r="496" spans="1:16" ht="27.75" customHeight="1">
      <c r="A496" s="34"/>
      <c r="B496" s="27"/>
      <c r="C496" s="27" t="s">
        <v>285</v>
      </c>
      <c r="D496" s="646">
        <v>0</v>
      </c>
      <c r="E496" s="646">
        <v>0</v>
      </c>
      <c r="F496" s="287">
        <f>D496-E496</f>
        <v>0</v>
      </c>
      <c r="G496" s="781"/>
      <c r="H496" s="773"/>
      <c r="I496" s="773"/>
      <c r="J496" s="773"/>
      <c r="K496" s="773"/>
      <c r="L496" s="773"/>
      <c r="M496" s="773"/>
      <c r="N496" s="1359"/>
      <c r="O496" s="1359"/>
      <c r="P496" s="1360"/>
    </row>
    <row r="497" spans="1:16" ht="29.25" customHeight="1">
      <c r="A497" s="952"/>
      <c r="B497" s="949"/>
      <c r="C497" s="949"/>
      <c r="D497" s="650"/>
      <c r="E497" s="650"/>
      <c r="F497" s="950"/>
      <c r="G497" s="1386"/>
      <c r="H497" s="1387"/>
      <c r="I497" s="791"/>
      <c r="J497" s="791"/>
      <c r="K497" s="791"/>
      <c r="L497" s="791"/>
      <c r="M497" s="791"/>
      <c r="N497" s="1375"/>
      <c r="O497" s="1375"/>
      <c r="P497" s="1376"/>
    </row>
    <row r="498" spans="1:16" ht="31.5" customHeight="1">
      <c r="A498" s="25">
        <v>4400</v>
      </c>
      <c r="B498" s="27"/>
      <c r="C498" s="27"/>
      <c r="D498" s="656"/>
      <c r="E498" s="656"/>
      <c r="F498" s="303"/>
      <c r="G498" s="781"/>
      <c r="H498" s="796"/>
      <c r="I498" s="759"/>
      <c r="J498" s="759"/>
      <c r="K498" s="759"/>
      <c r="L498" s="759"/>
      <c r="M498" s="759"/>
      <c r="N498" s="761"/>
      <c r="O498" s="761"/>
      <c r="P498" s="762"/>
    </row>
    <row r="499" spans="1:16" ht="31.5" customHeight="1">
      <c r="A499" s="25" t="s">
        <v>286</v>
      </c>
      <c r="B499" s="24" t="s">
        <v>120</v>
      </c>
      <c r="C499" s="24"/>
      <c r="D499" s="645">
        <f>D505+D501</f>
        <v>17998</v>
      </c>
      <c r="E499" s="645">
        <f>E505+E501</f>
        <v>30000</v>
      </c>
      <c r="F499" s="286">
        <f>D499-E499</f>
        <v>-12002</v>
      </c>
      <c r="G499" s="777"/>
      <c r="H499" s="800"/>
      <c r="I499" s="756"/>
      <c r="J499" s="756"/>
      <c r="K499" s="756"/>
      <c r="L499" s="756"/>
      <c r="M499" s="756"/>
      <c r="N499" s="757"/>
      <c r="O499" s="757"/>
      <c r="P499" s="758"/>
    </row>
    <row r="500" spans="1:16" ht="27" customHeight="1">
      <c r="A500" s="34"/>
      <c r="B500" s="27">
        <v>4410</v>
      </c>
      <c r="C500" s="27"/>
      <c r="D500" s="646"/>
      <c r="E500" s="646"/>
      <c r="F500" s="287"/>
      <c r="G500" s="781"/>
      <c r="H500" s="796"/>
      <c r="I500" s="759"/>
      <c r="J500" s="759"/>
      <c r="K500" s="759"/>
      <c r="L500" s="759"/>
      <c r="M500" s="759"/>
      <c r="N500" s="761"/>
      <c r="O500" s="761"/>
      <c r="P500" s="762"/>
    </row>
    <row r="501" spans="1:16" ht="31.5" customHeight="1">
      <c r="A501" s="92"/>
      <c r="B501" s="27" t="s">
        <v>175</v>
      </c>
      <c r="C501" s="27"/>
      <c r="D501" s="646">
        <f>D503</f>
        <v>0</v>
      </c>
      <c r="E501" s="646">
        <f>E503</f>
        <v>0</v>
      </c>
      <c r="F501" s="286">
        <f>D501-E501</f>
        <v>0</v>
      </c>
      <c r="G501" s="781"/>
      <c r="H501" s="796"/>
      <c r="I501" s="759"/>
      <c r="J501" s="759"/>
      <c r="K501" s="759"/>
      <c r="L501" s="759"/>
      <c r="M501" s="759"/>
      <c r="N501" s="761"/>
      <c r="O501" s="761"/>
      <c r="P501" s="762"/>
    </row>
    <row r="502" spans="1:16" ht="24.75" customHeight="1">
      <c r="A502" s="25"/>
      <c r="B502" s="27"/>
      <c r="C502" s="28">
        <v>4411</v>
      </c>
      <c r="D502" s="647"/>
      <c r="E502" s="647"/>
      <c r="F502" s="288"/>
      <c r="G502" s="815"/>
      <c r="H502" s="816"/>
      <c r="I502" s="783"/>
      <c r="J502" s="783"/>
      <c r="K502" s="783"/>
      <c r="L502" s="783"/>
      <c r="M502" s="783"/>
      <c r="N502" s="784"/>
      <c r="O502" s="784"/>
      <c r="P502" s="785"/>
    </row>
    <row r="503" spans="1:16" ht="31.5" customHeight="1">
      <c r="A503" s="25"/>
      <c r="B503" s="27"/>
      <c r="C503" s="27" t="s">
        <v>175</v>
      </c>
      <c r="D503" s="646">
        <v>0</v>
      </c>
      <c r="E503" s="646">
        <v>0</v>
      </c>
      <c r="F503" s="287">
        <f>D503-E503</f>
        <v>0</v>
      </c>
      <c r="G503" s="781" t="s">
        <v>3</v>
      </c>
      <c r="H503" s="773"/>
      <c r="I503" s="773"/>
      <c r="J503" s="773"/>
      <c r="K503" s="773"/>
      <c r="L503" s="773"/>
      <c r="M503" s="773"/>
      <c r="N503" s="1359" t="s">
        <v>120</v>
      </c>
      <c r="O503" s="1359"/>
      <c r="P503" s="1360"/>
    </row>
    <row r="504" spans="1:16" ht="27.75" customHeight="1">
      <c r="A504" s="25"/>
      <c r="B504" s="28">
        <v>4420</v>
      </c>
      <c r="C504" s="28"/>
      <c r="D504" s="647"/>
      <c r="E504" s="647"/>
      <c r="F504" s="288"/>
      <c r="G504" s="817"/>
      <c r="H504" s="816"/>
      <c r="I504" s="783"/>
      <c r="J504" s="783"/>
      <c r="K504" s="783"/>
      <c r="L504" s="783"/>
      <c r="M504" s="783"/>
      <c r="N504" s="784"/>
      <c r="O504" s="784"/>
      <c r="P504" s="785"/>
    </row>
    <row r="505" spans="1:16" ht="31.5" customHeight="1">
      <c r="A505" s="25"/>
      <c r="B505" s="27" t="s">
        <v>287</v>
      </c>
      <c r="C505" s="306"/>
      <c r="D505" s="657">
        <f>D507</f>
        <v>17998</v>
      </c>
      <c r="E505" s="657">
        <f>E507</f>
        <v>30000</v>
      </c>
      <c r="F505" s="294">
        <f>D505-E505</f>
        <v>-12002</v>
      </c>
      <c r="G505" s="790"/>
      <c r="H505" s="818"/>
      <c r="I505" s="791"/>
      <c r="J505" s="791"/>
      <c r="K505" s="791"/>
      <c r="L505" s="791"/>
      <c r="M505" s="791"/>
      <c r="N505" s="1138"/>
      <c r="O505" s="1138"/>
      <c r="P505" s="1139"/>
    </row>
    <row r="506" spans="1:16" ht="27.75" customHeight="1">
      <c r="A506" s="25"/>
      <c r="B506" s="27"/>
      <c r="C506" s="27">
        <v>4421</v>
      </c>
      <c r="D506" s="646"/>
      <c r="E506" s="646"/>
      <c r="F506" s="287"/>
      <c r="G506" s="774"/>
      <c r="H506" s="796"/>
      <c r="I506" s="759"/>
      <c r="J506" s="759"/>
      <c r="K506" s="759"/>
      <c r="L506" s="759"/>
      <c r="M506" s="759"/>
      <c r="N506" s="761"/>
      <c r="O506" s="761"/>
      <c r="P506" s="762"/>
    </row>
    <row r="507" spans="1:16" ht="27.75" customHeight="1">
      <c r="A507" s="25"/>
      <c r="B507" s="27"/>
      <c r="C507" s="27" t="s">
        <v>288</v>
      </c>
      <c r="D507" s="646">
        <v>17998</v>
      </c>
      <c r="E507" s="655">
        <v>30000</v>
      </c>
      <c r="F507" s="287">
        <f>D507-E507</f>
        <v>-12002</v>
      </c>
      <c r="G507" s="759" t="s">
        <v>337</v>
      </c>
      <c r="H507" s="773"/>
      <c r="I507" s="773"/>
      <c r="J507" s="773"/>
      <c r="K507" s="773"/>
      <c r="L507" s="773"/>
      <c r="M507" s="773"/>
      <c r="N507" s="793"/>
      <c r="O507" s="793"/>
      <c r="P507" s="794"/>
    </row>
    <row r="508" spans="1:16" ht="27.75" customHeight="1">
      <c r="A508" s="25"/>
      <c r="B508" s="27"/>
      <c r="C508" s="27"/>
      <c r="D508" s="646"/>
      <c r="E508" s="646"/>
      <c r="F508" s="287"/>
      <c r="G508" s="776" t="s">
        <v>942</v>
      </c>
      <c r="H508" s="773"/>
      <c r="I508" s="773"/>
      <c r="J508" s="773"/>
      <c r="K508" s="773"/>
      <c r="L508" s="773"/>
      <c r="M508" s="773"/>
      <c r="N508" s="1353">
        <v>7900000</v>
      </c>
      <c r="O508" s="1353"/>
      <c r="P508" s="1354"/>
    </row>
    <row r="509" spans="1:16" ht="27.75" customHeight="1">
      <c r="A509" s="25"/>
      <c r="B509" s="27"/>
      <c r="C509" s="27"/>
      <c r="D509" s="646"/>
      <c r="E509" s="646"/>
      <c r="F509" s="287"/>
      <c r="G509" s="1368" t="s">
        <v>383</v>
      </c>
      <c r="H509" s="1369"/>
      <c r="I509" s="773"/>
      <c r="J509" s="773"/>
      <c r="K509" s="773"/>
      <c r="L509" s="773"/>
      <c r="M509" s="773"/>
      <c r="N509" s="1353">
        <f>SUM(N508)</f>
        <v>7900000</v>
      </c>
      <c r="O509" s="1353"/>
      <c r="P509" s="1354"/>
    </row>
    <row r="510" spans="1:16" ht="27.75" customHeight="1">
      <c r="A510" s="25"/>
      <c r="B510" s="27"/>
      <c r="C510" s="27"/>
      <c r="D510" s="646"/>
      <c r="E510" s="646"/>
      <c r="F510" s="287"/>
      <c r="G510" s="759" t="s">
        <v>148</v>
      </c>
      <c r="H510" s="773"/>
      <c r="I510" s="773"/>
      <c r="J510" s="773"/>
      <c r="K510" s="773"/>
      <c r="L510" s="773"/>
      <c r="M510" s="773"/>
      <c r="N510" s="793"/>
      <c r="O510" s="793"/>
      <c r="P510" s="794"/>
    </row>
    <row r="511" spans="1:16" ht="27.75" customHeight="1">
      <c r="A511" s="25"/>
      <c r="B511" s="27"/>
      <c r="C511" s="27"/>
      <c r="D511" s="646"/>
      <c r="E511" s="646"/>
      <c r="F511" s="287"/>
      <c r="G511" s="776" t="s">
        <v>942</v>
      </c>
      <c r="H511" s="773"/>
      <c r="I511" s="773"/>
      <c r="J511" s="773"/>
      <c r="K511" s="773"/>
      <c r="L511" s="773"/>
      <c r="M511" s="773"/>
      <c r="N511" s="1353">
        <v>10098000</v>
      </c>
      <c r="O511" s="1353"/>
      <c r="P511" s="1354"/>
    </row>
    <row r="512" spans="1:16" ht="27.75" customHeight="1">
      <c r="A512" s="25"/>
      <c r="B512" s="27"/>
      <c r="C512" s="27"/>
      <c r="D512" s="646"/>
      <c r="E512" s="646"/>
      <c r="F512" s="287"/>
      <c r="G512" s="1368" t="s">
        <v>359</v>
      </c>
      <c r="H512" s="1369"/>
      <c r="I512" s="773"/>
      <c r="J512" s="773"/>
      <c r="K512" s="773"/>
      <c r="L512" s="773"/>
      <c r="M512" s="773"/>
      <c r="N512" s="761"/>
      <c r="O512" s="761"/>
      <c r="P512" s="762">
        <f>SUM(N511)</f>
        <v>10098000</v>
      </c>
    </row>
    <row r="513" spans="1:16" ht="27.75" customHeight="1">
      <c r="A513" s="952"/>
      <c r="B513" s="949"/>
      <c r="C513" s="949"/>
      <c r="D513" s="650"/>
      <c r="E513" s="650"/>
      <c r="F513" s="950"/>
      <c r="G513" s="1386" t="s">
        <v>4</v>
      </c>
      <c r="H513" s="1387"/>
      <c r="I513" s="1078"/>
      <c r="J513" s="1078"/>
      <c r="K513" s="1078"/>
      <c r="L513" s="1078"/>
      <c r="M513" s="1078"/>
      <c r="N513" s="1375">
        <f>SUM(N509+N511)</f>
        <v>17998000</v>
      </c>
      <c r="O513" s="1375"/>
      <c r="P513" s="1376"/>
    </row>
    <row r="514" spans="1:16" ht="24" customHeight="1">
      <c r="A514" s="25">
        <v>4500</v>
      </c>
      <c r="B514" s="27"/>
      <c r="C514" s="27"/>
      <c r="D514" s="656"/>
      <c r="E514" s="656"/>
      <c r="F514" s="303"/>
      <c r="G514" s="781"/>
      <c r="H514" s="796"/>
      <c r="I514" s="759"/>
      <c r="J514" s="759"/>
      <c r="K514" s="759"/>
      <c r="L514" s="759"/>
      <c r="M514" s="759"/>
      <c r="N514" s="761"/>
      <c r="O514" s="761"/>
      <c r="P514" s="762"/>
    </row>
    <row r="515" spans="1:16" ht="31.5" customHeight="1">
      <c r="A515" s="25" t="s">
        <v>189</v>
      </c>
      <c r="B515" s="24" t="s">
        <v>120</v>
      </c>
      <c r="C515" s="24"/>
      <c r="D515" s="645">
        <f>D517</f>
        <v>3700000</v>
      </c>
      <c r="E515" s="645">
        <f>E517</f>
        <v>3700000</v>
      </c>
      <c r="F515" s="286">
        <f>D515-E515</f>
        <v>0</v>
      </c>
      <c r="G515" s="777"/>
      <c r="H515" s="800"/>
      <c r="I515" s="756"/>
      <c r="J515" s="756"/>
      <c r="K515" s="756"/>
      <c r="L515" s="756"/>
      <c r="M515" s="756"/>
      <c r="N515" s="757"/>
      <c r="O515" s="757"/>
      <c r="P515" s="758"/>
    </row>
    <row r="516" spans="1:16" ht="31.5" customHeight="1">
      <c r="A516" s="34"/>
      <c r="B516" s="27">
        <v>4510</v>
      </c>
      <c r="C516" s="27"/>
      <c r="D516" s="646"/>
      <c r="E516" s="646"/>
      <c r="F516" s="287"/>
      <c r="G516" s="781"/>
      <c r="H516" s="796"/>
      <c r="I516" s="759"/>
      <c r="J516" s="759"/>
      <c r="K516" s="759"/>
      <c r="L516" s="759"/>
      <c r="M516" s="759"/>
      <c r="N516" s="761"/>
      <c r="O516" s="761"/>
      <c r="P516" s="762"/>
    </row>
    <row r="517" spans="1:16" ht="31.5" customHeight="1">
      <c r="A517" s="92"/>
      <c r="B517" s="27" t="s">
        <v>189</v>
      </c>
      <c r="C517" s="24"/>
      <c r="D517" s="645">
        <f>D519+D521</f>
        <v>3700000</v>
      </c>
      <c r="E517" s="645">
        <f>E519+E521</f>
        <v>3700000</v>
      </c>
      <c r="F517" s="286">
        <f>D517-E517</f>
        <v>0</v>
      </c>
      <c r="G517" s="777"/>
      <c r="H517" s="800"/>
      <c r="I517" s="756"/>
      <c r="J517" s="756"/>
      <c r="K517" s="756"/>
      <c r="L517" s="756"/>
      <c r="M517" s="756"/>
      <c r="N517" s="757"/>
      <c r="O517" s="757"/>
      <c r="P517" s="758"/>
    </row>
    <row r="518" spans="1:16" ht="30" customHeight="1">
      <c r="A518" s="25"/>
      <c r="B518" s="27"/>
      <c r="C518" s="27">
        <v>4516</v>
      </c>
      <c r="D518" s="646"/>
      <c r="E518" s="646"/>
      <c r="F518" s="287"/>
      <c r="G518" s="819"/>
      <c r="H518" s="796"/>
      <c r="I518" s="759"/>
      <c r="J518" s="759"/>
      <c r="K518" s="759"/>
      <c r="L518" s="759"/>
      <c r="M518" s="759"/>
      <c r="N518" s="761"/>
      <c r="O518" s="761"/>
      <c r="P518" s="762"/>
    </row>
    <row r="519" spans="1:16" ht="30" customHeight="1">
      <c r="A519" s="25"/>
      <c r="B519" s="27"/>
      <c r="C519" s="24" t="s">
        <v>190</v>
      </c>
      <c r="D519" s="645">
        <v>0</v>
      </c>
      <c r="E519" s="645">
        <v>0</v>
      </c>
      <c r="F519" s="286">
        <f>D519-E519</f>
        <v>0</v>
      </c>
      <c r="G519" s="777" t="s">
        <v>3</v>
      </c>
      <c r="H519" s="800"/>
      <c r="I519" s="756"/>
      <c r="J519" s="756"/>
      <c r="K519" s="756"/>
      <c r="L519" s="756"/>
      <c r="M519" s="756"/>
      <c r="N519" s="1375" t="s">
        <v>3</v>
      </c>
      <c r="O519" s="1375"/>
      <c r="P519" s="1376"/>
    </row>
    <row r="520" spans="1:16" ht="33" customHeight="1">
      <c r="A520" s="25"/>
      <c r="B520" s="27"/>
      <c r="C520" s="28">
        <v>4519</v>
      </c>
      <c r="D520" s="647"/>
      <c r="E520" s="647"/>
      <c r="F520" s="288"/>
      <c r="G520" s="1061" t="s">
        <v>1020</v>
      </c>
      <c r="H520" s="816"/>
      <c r="I520" s="783"/>
      <c r="J520" s="783"/>
      <c r="K520" s="783"/>
      <c r="L520" s="783"/>
      <c r="M520" s="783"/>
      <c r="N520" s="784"/>
      <c r="O520" s="784"/>
      <c r="P520" s="785"/>
    </row>
    <row r="521" spans="1:16" ht="40.5">
      <c r="A521" s="23"/>
      <c r="B521" s="24"/>
      <c r="C521" s="490" t="s">
        <v>759</v>
      </c>
      <c r="D521" s="645">
        <v>3700000</v>
      </c>
      <c r="E521" s="645">
        <v>3700000</v>
      </c>
      <c r="F521" s="286">
        <f>D521-E521</f>
        <v>0</v>
      </c>
      <c r="G521" s="777" t="s">
        <v>289</v>
      </c>
      <c r="H521" s="800"/>
      <c r="I521" s="756"/>
      <c r="J521" s="756"/>
      <c r="K521" s="756"/>
      <c r="L521" s="756"/>
      <c r="M521" s="756"/>
      <c r="N521" s="1375">
        <v>3700000000</v>
      </c>
      <c r="O521" s="1375"/>
      <c r="P521" s="1376"/>
    </row>
    <row r="522" spans="1:16" ht="26.25" customHeight="1">
      <c r="A522" s="25">
        <v>4600</v>
      </c>
      <c r="B522" s="27"/>
      <c r="C522" s="27"/>
      <c r="D522" s="646"/>
      <c r="E522" s="646"/>
      <c r="F522" s="287"/>
      <c r="G522" s="781"/>
      <c r="H522" s="759"/>
      <c r="I522" s="759"/>
      <c r="J522" s="759"/>
      <c r="K522" s="759"/>
      <c r="L522" s="759"/>
      <c r="M522" s="759"/>
      <c r="N522" s="1353"/>
      <c r="O522" s="1353"/>
      <c r="P522" s="1354"/>
    </row>
    <row r="523" spans="1:16" ht="36" customHeight="1">
      <c r="A523" s="25" t="s">
        <v>158</v>
      </c>
      <c r="B523" s="24"/>
      <c r="C523" s="24"/>
      <c r="D523" s="645">
        <f>D525</f>
        <v>700000</v>
      </c>
      <c r="E523" s="645">
        <f>E525</f>
        <v>600000</v>
      </c>
      <c r="F523" s="286">
        <f>D523-E523</f>
        <v>100000</v>
      </c>
      <c r="G523" s="777"/>
      <c r="H523" s="756"/>
      <c r="I523" s="756"/>
      <c r="J523" s="756"/>
      <c r="K523" s="756"/>
      <c r="L523" s="756"/>
      <c r="M523" s="756"/>
      <c r="N523" s="1375"/>
      <c r="O523" s="1375"/>
      <c r="P523" s="1376"/>
    </row>
    <row r="524" spans="1:16" ht="21.75" customHeight="1">
      <c r="A524" s="25"/>
      <c r="B524" s="27">
        <v>4610</v>
      </c>
      <c r="C524" s="27"/>
      <c r="D524" s="646"/>
      <c r="E524" s="646"/>
      <c r="F524" s="287"/>
      <c r="G524" s="781"/>
      <c r="H524" s="759"/>
      <c r="I524" s="759"/>
      <c r="J524" s="759"/>
      <c r="K524" s="759"/>
      <c r="L524" s="759"/>
      <c r="M524" s="759"/>
      <c r="N524" s="1353"/>
      <c r="O524" s="1353"/>
      <c r="P524" s="1354"/>
    </row>
    <row r="525" spans="1:16" ht="21.75" customHeight="1">
      <c r="A525" s="25" t="s">
        <v>120</v>
      </c>
      <c r="B525" s="27" t="s">
        <v>158</v>
      </c>
      <c r="C525" s="24"/>
      <c r="D525" s="645">
        <f>SUM(D527)</f>
        <v>700000</v>
      </c>
      <c r="E525" s="645">
        <f>SUM(E527)</f>
        <v>600000</v>
      </c>
      <c r="F525" s="286">
        <f>D525-E525</f>
        <v>100000</v>
      </c>
      <c r="G525" s="777"/>
      <c r="H525" s="756"/>
      <c r="I525" s="756"/>
      <c r="J525" s="756"/>
      <c r="K525" s="756"/>
      <c r="L525" s="756"/>
      <c r="M525" s="756"/>
      <c r="N525" s="1375"/>
      <c r="O525" s="1375"/>
      <c r="P525" s="1376"/>
    </row>
    <row r="526" spans="1:16" ht="18.75" customHeight="1">
      <c r="A526" s="25"/>
      <c r="B526" s="27"/>
      <c r="C526" s="27">
        <v>4611</v>
      </c>
      <c r="D526" s="646"/>
      <c r="E526" s="646"/>
      <c r="F526" s="287"/>
      <c r="G526" s="773"/>
      <c r="H526" s="759"/>
      <c r="I526" s="759"/>
      <c r="J526" s="759"/>
      <c r="K526" s="759"/>
      <c r="L526" s="759"/>
      <c r="M526" s="759"/>
      <c r="N526" s="1353"/>
      <c r="O526" s="1353"/>
      <c r="P526" s="1354"/>
    </row>
    <row r="527" spans="1:16" ht="25.5" customHeight="1">
      <c r="A527" s="305"/>
      <c r="B527" s="306"/>
      <c r="C527" s="306" t="s">
        <v>158</v>
      </c>
      <c r="D527" s="650">
        <v>700000</v>
      </c>
      <c r="E527" s="650">
        <v>600000</v>
      </c>
      <c r="F527" s="294">
        <f>D527-E527</f>
        <v>100000</v>
      </c>
      <c r="G527" s="790" t="s">
        <v>83</v>
      </c>
      <c r="H527" s="791"/>
      <c r="I527" s="791"/>
      <c r="J527" s="791"/>
      <c r="K527" s="791"/>
      <c r="L527" s="791"/>
      <c r="M527" s="791"/>
      <c r="N527" s="1375">
        <v>700000000</v>
      </c>
      <c r="O527" s="1375"/>
      <c r="P527" s="1376"/>
    </row>
    <row r="528" spans="1:16" ht="30" customHeight="1">
      <c r="A528" s="25">
        <v>1200</v>
      </c>
      <c r="B528" s="27"/>
      <c r="C528" s="27"/>
      <c r="D528" s="646"/>
      <c r="E528" s="646"/>
      <c r="F528" s="287"/>
      <c r="G528" s="781"/>
      <c r="H528" s="759"/>
      <c r="I528" s="759"/>
      <c r="J528" s="759"/>
      <c r="K528" s="759"/>
      <c r="L528" s="759"/>
      <c r="M528" s="759"/>
      <c r="N528" s="1353"/>
      <c r="O528" s="1353"/>
      <c r="P528" s="1354"/>
    </row>
    <row r="529" spans="1:16" ht="33.75" customHeight="1">
      <c r="A529" s="42" t="s">
        <v>290</v>
      </c>
      <c r="B529" s="24"/>
      <c r="C529" s="24"/>
      <c r="D529" s="645">
        <f>D541+D535+D531</f>
        <v>0</v>
      </c>
      <c r="E529" s="645">
        <f>E541+E535+E531</f>
        <v>0</v>
      </c>
      <c r="F529" s="286">
        <f>D529-E529</f>
        <v>0</v>
      </c>
      <c r="G529" s="777"/>
      <c r="H529" s="756"/>
      <c r="I529" s="756"/>
      <c r="J529" s="756"/>
      <c r="K529" s="756"/>
      <c r="L529" s="756"/>
      <c r="M529" s="756"/>
      <c r="N529" s="1375"/>
      <c r="O529" s="1375"/>
      <c r="P529" s="1376"/>
    </row>
    <row r="530" spans="1:16" ht="24" customHeight="1">
      <c r="A530" s="25"/>
      <c r="B530" s="27">
        <v>1220</v>
      </c>
      <c r="C530" s="27"/>
      <c r="D530" s="646"/>
      <c r="E530" s="646"/>
      <c r="F530" s="287"/>
      <c r="G530" s="781"/>
      <c r="H530" s="759"/>
      <c r="I530" s="759"/>
      <c r="J530" s="759"/>
      <c r="K530" s="759"/>
      <c r="L530" s="759"/>
      <c r="M530" s="759"/>
      <c r="N530" s="1353"/>
      <c r="O530" s="1353"/>
      <c r="P530" s="1354"/>
    </row>
    <row r="531" spans="1:16" ht="30" customHeight="1">
      <c r="A531" s="25"/>
      <c r="B531" s="298" t="s">
        <v>291</v>
      </c>
      <c r="C531" s="232"/>
      <c r="D531" s="658">
        <f>SUM(D533)</f>
        <v>0</v>
      </c>
      <c r="E531" s="658">
        <f>SUM(E533)</f>
        <v>0</v>
      </c>
      <c r="F531" s="293">
        <f>D531-E531</f>
        <v>0</v>
      </c>
      <c r="G531" s="820"/>
      <c r="H531" s="802"/>
      <c r="I531" s="802"/>
      <c r="J531" s="802"/>
      <c r="K531" s="802"/>
      <c r="L531" s="802"/>
      <c r="M531" s="802"/>
      <c r="N531" s="1423"/>
      <c r="O531" s="1423"/>
      <c r="P531" s="1424"/>
    </row>
    <row r="532" spans="1:16" ht="30" customHeight="1">
      <c r="A532" s="25"/>
      <c r="B532" s="27"/>
      <c r="C532" s="27">
        <v>1221</v>
      </c>
      <c r="D532" s="646"/>
      <c r="E532" s="646"/>
      <c r="F532" s="287"/>
      <c r="G532" s="781"/>
      <c r="H532" s="759"/>
      <c r="I532" s="759"/>
      <c r="J532" s="759"/>
      <c r="K532" s="759"/>
      <c r="L532" s="759"/>
      <c r="M532" s="759"/>
      <c r="N532" s="1353"/>
      <c r="O532" s="1353"/>
      <c r="P532" s="1354"/>
    </row>
    <row r="533" spans="1:16" ht="30" customHeight="1">
      <c r="A533" s="25"/>
      <c r="B533" s="27"/>
      <c r="C533" s="33" t="s">
        <v>292</v>
      </c>
      <c r="D533" s="660">
        <v>0</v>
      </c>
      <c r="E533" s="660">
        <v>0</v>
      </c>
      <c r="F533" s="286">
        <f>D533-E533</f>
        <v>0</v>
      </c>
      <c r="G533" s="777" t="s">
        <v>335</v>
      </c>
      <c r="H533" s="756"/>
      <c r="I533" s="756"/>
      <c r="J533" s="756"/>
      <c r="K533" s="756"/>
      <c r="L533" s="756"/>
      <c r="M533" s="756"/>
      <c r="N533" s="1375" t="s">
        <v>3</v>
      </c>
      <c r="O533" s="1375"/>
      <c r="P533" s="1376"/>
    </row>
    <row r="534" spans="1:16" ht="30" customHeight="1">
      <c r="A534" s="25"/>
      <c r="B534" s="27">
        <v>1240</v>
      </c>
      <c r="C534" s="27"/>
      <c r="D534" s="646"/>
      <c r="E534" s="646"/>
      <c r="F534" s="287"/>
      <c r="G534" s="781"/>
      <c r="H534" s="759"/>
      <c r="I534" s="759"/>
      <c r="J534" s="759"/>
      <c r="K534" s="759"/>
      <c r="L534" s="759"/>
      <c r="M534" s="759"/>
      <c r="N534" s="1353"/>
      <c r="O534" s="1353"/>
      <c r="P534" s="1354"/>
    </row>
    <row r="535" spans="1:16" s="36" customFormat="1" ht="32.25" customHeight="1">
      <c r="A535" s="25"/>
      <c r="B535" s="32" t="s">
        <v>0</v>
      </c>
      <c r="C535" s="24"/>
      <c r="D535" s="645">
        <f>SUM(D539+D537)</f>
        <v>0</v>
      </c>
      <c r="E535" s="645">
        <f>SUM(E539+E537)</f>
        <v>0</v>
      </c>
      <c r="F535" s="286">
        <f>D535-E535</f>
        <v>0</v>
      </c>
      <c r="G535" s="777"/>
      <c r="H535" s="756"/>
      <c r="I535" s="756"/>
      <c r="J535" s="756"/>
      <c r="K535" s="756"/>
      <c r="L535" s="756"/>
      <c r="M535" s="756"/>
      <c r="N535" s="1375"/>
      <c r="O535" s="1375"/>
      <c r="P535" s="1376"/>
    </row>
    <row r="536" spans="1:16" s="36" customFormat="1" ht="32.25" customHeight="1">
      <c r="A536" s="25"/>
      <c r="B536" s="32"/>
      <c r="C536" s="27">
        <v>1242</v>
      </c>
      <c r="D536" s="646"/>
      <c r="E536" s="646"/>
      <c r="F536" s="287"/>
      <c r="G536" s="774"/>
      <c r="H536" s="759"/>
      <c r="I536" s="759"/>
      <c r="J536" s="759"/>
      <c r="K536" s="759"/>
      <c r="L536" s="759"/>
      <c r="M536" s="759"/>
      <c r="N536" s="761"/>
      <c r="O536" s="761"/>
      <c r="P536" s="762"/>
    </row>
    <row r="537" spans="1:16" s="36" customFormat="1" ht="32.25" customHeight="1">
      <c r="A537" s="25"/>
      <c r="B537" s="32"/>
      <c r="C537" s="96" t="s">
        <v>595</v>
      </c>
      <c r="D537" s="660">
        <v>0</v>
      </c>
      <c r="E537" s="660">
        <v>0</v>
      </c>
      <c r="F537" s="286">
        <f>D537-E537</f>
        <v>0</v>
      </c>
      <c r="G537" s="777" t="s">
        <v>3</v>
      </c>
      <c r="H537" s="756"/>
      <c r="I537" s="756"/>
      <c r="J537" s="756"/>
      <c r="K537" s="756"/>
      <c r="L537" s="756"/>
      <c r="M537" s="756"/>
      <c r="N537" s="821"/>
      <c r="O537" s="821"/>
      <c r="P537" s="822"/>
    </row>
    <row r="538" spans="1:16" s="36" customFormat="1" ht="32.25" customHeight="1">
      <c r="A538" s="25"/>
      <c r="B538" s="27"/>
      <c r="C538" s="27">
        <v>1249</v>
      </c>
      <c r="D538" s="646"/>
      <c r="E538" s="646"/>
      <c r="F538" s="287"/>
      <c r="G538" s="774"/>
      <c r="H538" s="759"/>
      <c r="I538" s="759"/>
      <c r="J538" s="759"/>
      <c r="K538" s="759"/>
      <c r="L538" s="759"/>
      <c r="M538" s="759"/>
      <c r="N538" s="761"/>
      <c r="O538" s="761"/>
      <c r="P538" s="762"/>
    </row>
    <row r="539" spans="1:16" ht="32.25" customHeight="1">
      <c r="A539" s="25"/>
      <c r="B539" s="27"/>
      <c r="C539" s="32" t="s">
        <v>0</v>
      </c>
      <c r="D539" s="660">
        <v>0</v>
      </c>
      <c r="E539" s="660">
        <v>0</v>
      </c>
      <c r="F539" s="286">
        <f>D539-E539</f>
        <v>0</v>
      </c>
      <c r="G539" s="777" t="s">
        <v>120</v>
      </c>
      <c r="H539" s="756"/>
      <c r="I539" s="756"/>
      <c r="J539" s="756"/>
      <c r="K539" s="756"/>
      <c r="L539" s="756"/>
      <c r="M539" s="756"/>
      <c r="N539" s="821"/>
      <c r="O539" s="821"/>
      <c r="P539" s="822"/>
    </row>
    <row r="540" spans="1:16" ht="23.25" customHeight="1">
      <c r="A540" s="25"/>
      <c r="B540" s="28">
        <v>1260</v>
      </c>
      <c r="C540" s="28"/>
      <c r="D540" s="647"/>
      <c r="E540" s="647"/>
      <c r="F540" s="288"/>
      <c r="G540" s="817"/>
      <c r="H540" s="783"/>
      <c r="I540" s="783"/>
      <c r="J540" s="783"/>
      <c r="K540" s="783"/>
      <c r="L540" s="783"/>
      <c r="M540" s="783"/>
      <c r="N540" s="1397"/>
      <c r="O540" s="1397"/>
      <c r="P540" s="1398"/>
    </row>
    <row r="541" spans="1:16" s="36" customFormat="1" ht="32.25" customHeight="1">
      <c r="A541" s="25"/>
      <c r="B541" s="32" t="s">
        <v>293</v>
      </c>
      <c r="C541" s="24"/>
      <c r="D541" s="645">
        <f>D545+D543+D549+D547</f>
        <v>0</v>
      </c>
      <c r="E541" s="645">
        <f>E545+E543+E549+E547</f>
        <v>0</v>
      </c>
      <c r="F541" s="286">
        <f>D541-E541</f>
        <v>0</v>
      </c>
      <c r="G541" s="777"/>
      <c r="H541" s="756"/>
      <c r="I541" s="756"/>
      <c r="J541" s="756"/>
      <c r="K541" s="756"/>
      <c r="L541" s="756"/>
      <c r="M541" s="756"/>
      <c r="N541" s="1375"/>
      <c r="O541" s="1375"/>
      <c r="P541" s="1376"/>
    </row>
    <row r="542" spans="1:16" s="36" customFormat="1" ht="24.75" customHeight="1">
      <c r="A542" s="25"/>
      <c r="B542" s="27"/>
      <c r="C542" s="27">
        <v>1262</v>
      </c>
      <c r="D542" s="646"/>
      <c r="E542" s="646"/>
      <c r="F542" s="287"/>
      <c r="G542" s="774"/>
      <c r="H542" s="759"/>
      <c r="I542" s="759"/>
      <c r="J542" s="759"/>
      <c r="K542" s="759"/>
      <c r="L542" s="759"/>
      <c r="M542" s="759"/>
      <c r="N542" s="761"/>
      <c r="O542" s="761"/>
      <c r="P542" s="762"/>
    </row>
    <row r="543" spans="1:16" ht="32.25" customHeight="1">
      <c r="A543" s="25"/>
      <c r="B543" s="27"/>
      <c r="C543" s="33" t="s">
        <v>294</v>
      </c>
      <c r="D543" s="660">
        <v>0</v>
      </c>
      <c r="E543" s="660">
        <v>0</v>
      </c>
      <c r="F543" s="286">
        <f>D543-E543</f>
        <v>0</v>
      </c>
      <c r="G543" s="777" t="s">
        <v>120</v>
      </c>
      <c r="H543" s="756"/>
      <c r="I543" s="756"/>
      <c r="J543" s="756"/>
      <c r="K543" s="756"/>
      <c r="L543" s="756"/>
      <c r="M543" s="756"/>
      <c r="N543" s="821"/>
      <c r="O543" s="821"/>
      <c r="P543" s="822"/>
    </row>
    <row r="544" spans="1:16" ht="32.25" customHeight="1">
      <c r="A544" s="25"/>
      <c r="B544" s="27"/>
      <c r="C544" s="27">
        <v>1263</v>
      </c>
      <c r="D544" s="646"/>
      <c r="E544" s="646"/>
      <c r="F544" s="287"/>
      <c r="G544" s="781"/>
      <c r="H544" s="759"/>
      <c r="I544" s="759"/>
      <c r="J544" s="759"/>
      <c r="K544" s="759"/>
      <c r="L544" s="759"/>
      <c r="M544" s="759"/>
      <c r="N544" s="1353"/>
      <c r="O544" s="1353"/>
      <c r="P544" s="1354"/>
    </row>
    <row r="545" spans="1:16" ht="32.25" customHeight="1">
      <c r="A545" s="25"/>
      <c r="B545" s="27"/>
      <c r="C545" s="33" t="s">
        <v>295</v>
      </c>
      <c r="D545" s="660">
        <v>0</v>
      </c>
      <c r="E545" s="660">
        <v>0</v>
      </c>
      <c r="F545" s="286">
        <f>D545-E545</f>
        <v>0</v>
      </c>
      <c r="G545" s="777" t="s">
        <v>120</v>
      </c>
      <c r="H545" s="779"/>
      <c r="I545" s="779"/>
      <c r="J545" s="779"/>
      <c r="K545" s="779"/>
      <c r="L545" s="779"/>
      <c r="M545" s="779"/>
      <c r="N545" s="779"/>
      <c r="O545" s="779"/>
      <c r="P545" s="823"/>
    </row>
    <row r="546" spans="1:16" ht="32.25" customHeight="1">
      <c r="A546" s="25"/>
      <c r="B546" s="27"/>
      <c r="C546" s="27">
        <v>1264</v>
      </c>
      <c r="D546" s="653"/>
      <c r="E546" s="653"/>
      <c r="F546" s="287"/>
      <c r="G546" s="781"/>
      <c r="H546" s="766"/>
      <c r="I546" s="766"/>
      <c r="J546" s="766"/>
      <c r="K546" s="766"/>
      <c r="L546" s="766"/>
      <c r="M546" s="766"/>
      <c r="N546" s="766"/>
      <c r="O546" s="766"/>
      <c r="P546" s="824"/>
    </row>
    <row r="547" spans="1:16" ht="32.25" customHeight="1">
      <c r="A547" s="25"/>
      <c r="B547" s="27"/>
      <c r="C547" s="490" t="s">
        <v>873</v>
      </c>
      <c r="D547" s="660">
        <v>0</v>
      </c>
      <c r="E547" s="660">
        <v>0</v>
      </c>
      <c r="F547" s="286">
        <f>D547-E547</f>
        <v>0</v>
      </c>
      <c r="G547" s="777"/>
      <c r="H547" s="779"/>
      <c r="I547" s="779"/>
      <c r="J547" s="779"/>
      <c r="K547" s="779"/>
      <c r="L547" s="779"/>
      <c r="M547" s="779"/>
      <c r="N547" s="779"/>
      <c r="O547" s="779"/>
      <c r="P547" s="823"/>
    </row>
    <row r="548" spans="1:16" ht="26.25" customHeight="1">
      <c r="A548" s="25"/>
      <c r="B548" s="27"/>
      <c r="C548" s="27">
        <v>1266</v>
      </c>
      <c r="D548" s="646"/>
      <c r="E548" s="646"/>
      <c r="F548" s="287"/>
      <c r="G548" s="781"/>
      <c r="H548" s="759"/>
      <c r="I548" s="759"/>
      <c r="J548" s="759"/>
      <c r="K548" s="759"/>
      <c r="L548" s="759"/>
      <c r="M548" s="759"/>
      <c r="N548" s="1353"/>
      <c r="O548" s="1353"/>
      <c r="P548" s="1354"/>
    </row>
    <row r="549" spans="1:16" ht="32.25" customHeight="1">
      <c r="A549" s="952"/>
      <c r="B549" s="949"/>
      <c r="C549" s="951" t="s">
        <v>296</v>
      </c>
      <c r="D549" s="953">
        <v>0</v>
      </c>
      <c r="E549" s="953">
        <v>0</v>
      </c>
      <c r="F549" s="950">
        <f>D549-E549</f>
        <v>0</v>
      </c>
      <c r="G549" s="790" t="s">
        <v>120</v>
      </c>
      <c r="H549" s="1137"/>
      <c r="I549" s="1137"/>
      <c r="J549" s="1137"/>
      <c r="K549" s="1137"/>
      <c r="L549" s="1137"/>
      <c r="M549" s="1137"/>
      <c r="N549" s="1137"/>
      <c r="O549" s="1137"/>
      <c r="P549" s="948"/>
    </row>
    <row r="550" spans="1:16" ht="34.5" customHeight="1">
      <c r="A550" s="25">
        <v>1300</v>
      </c>
      <c r="B550" s="27"/>
      <c r="C550" s="27"/>
      <c r="D550" s="646"/>
      <c r="E550" s="646"/>
      <c r="F550" s="287"/>
      <c r="G550" s="781"/>
      <c r="H550" s="759"/>
      <c r="I550" s="759"/>
      <c r="J550" s="759"/>
      <c r="K550" s="759"/>
      <c r="L550" s="759"/>
      <c r="M550" s="759"/>
      <c r="N550" s="1353"/>
      <c r="O550" s="1353"/>
      <c r="P550" s="1354"/>
    </row>
    <row r="551" spans="1:16" ht="34.5" customHeight="1">
      <c r="A551" s="42" t="s">
        <v>297</v>
      </c>
      <c r="B551" s="24"/>
      <c r="C551" s="24"/>
      <c r="D551" s="645">
        <f>D553+D596</f>
        <v>1418517</v>
      </c>
      <c r="E551" s="645">
        <f>E553+E596</f>
        <v>1753000</v>
      </c>
      <c r="F551" s="286">
        <f>D551-E551</f>
        <v>-334483</v>
      </c>
      <c r="G551" s="777"/>
      <c r="H551" s="756"/>
      <c r="I551" s="756"/>
      <c r="J551" s="756"/>
      <c r="K551" s="756"/>
      <c r="L551" s="756"/>
      <c r="M551" s="756"/>
      <c r="N551" s="1375"/>
      <c r="O551" s="1375"/>
      <c r="P551" s="1376"/>
    </row>
    <row r="552" spans="1:16" ht="30" customHeight="1">
      <c r="A552" s="25"/>
      <c r="B552" s="27">
        <v>1310</v>
      </c>
      <c r="C552" s="27"/>
      <c r="D552" s="646"/>
      <c r="E552" s="646"/>
      <c r="F552" s="287"/>
      <c r="G552" s="781"/>
      <c r="H552" s="759"/>
      <c r="I552" s="759"/>
      <c r="J552" s="759"/>
      <c r="K552" s="759"/>
      <c r="L552" s="759"/>
      <c r="M552" s="759"/>
      <c r="N552" s="1353"/>
      <c r="O552" s="1353"/>
      <c r="P552" s="1354"/>
    </row>
    <row r="553" spans="1:16" ht="47.25" customHeight="1">
      <c r="A553" s="25"/>
      <c r="B553" s="33" t="s">
        <v>298</v>
      </c>
      <c r="C553" s="24"/>
      <c r="D553" s="645">
        <f>D555+D558+D562+D569+D578+D580+D591+D593+D560</f>
        <v>1401017</v>
      </c>
      <c r="E553" s="645">
        <f>E555+E558+E562+E569+E578+E580+E591+E593+E560</f>
        <v>1753000</v>
      </c>
      <c r="F553" s="286">
        <f>D553-E553</f>
        <v>-351983</v>
      </c>
      <c r="G553" s="777"/>
      <c r="H553" s="756"/>
      <c r="I553" s="756"/>
      <c r="J553" s="756"/>
      <c r="K553" s="756"/>
      <c r="L553" s="756"/>
      <c r="M553" s="756"/>
      <c r="N553" s="1375"/>
      <c r="O553" s="1375"/>
      <c r="P553" s="1376"/>
    </row>
    <row r="554" spans="1:16" ht="27.75" customHeight="1">
      <c r="A554" s="25"/>
      <c r="B554" s="27"/>
      <c r="C554" s="27">
        <v>1311</v>
      </c>
      <c r="D554" s="646"/>
      <c r="E554" s="646"/>
      <c r="F554" s="287"/>
      <c r="G554" s="773"/>
      <c r="H554" s="759"/>
      <c r="I554" s="759"/>
      <c r="J554" s="759"/>
      <c r="K554" s="1351"/>
      <c r="L554" s="1351"/>
      <c r="M554" s="759"/>
      <c r="N554" s="1353"/>
      <c r="O554" s="1353"/>
      <c r="P554" s="1354"/>
    </row>
    <row r="555" spans="1:16" ht="29.25" customHeight="1">
      <c r="A555" s="25"/>
      <c r="B555" s="27"/>
      <c r="C555" s="32" t="s">
        <v>299</v>
      </c>
      <c r="D555" s="646">
        <v>0</v>
      </c>
      <c r="E555" s="646">
        <v>0</v>
      </c>
      <c r="F555" s="287">
        <f>D555-E555</f>
        <v>0</v>
      </c>
      <c r="G555" s="781"/>
      <c r="H555" s="766"/>
      <c r="I555" s="766"/>
      <c r="J555" s="766"/>
      <c r="K555" s="766"/>
      <c r="L555" s="766"/>
      <c r="M555" s="766"/>
      <c r="N555" s="766"/>
      <c r="O555" s="766"/>
      <c r="P555" s="824"/>
    </row>
    <row r="556" spans="1:16" ht="30" customHeight="1">
      <c r="A556" s="25"/>
      <c r="B556" s="27"/>
      <c r="C556" s="33"/>
      <c r="D556" s="645"/>
      <c r="E556" s="645"/>
      <c r="F556" s="286"/>
      <c r="G556" s="792"/>
      <c r="H556" s="779"/>
      <c r="I556" s="779"/>
      <c r="J556" s="779"/>
      <c r="K556" s="779"/>
      <c r="L556" s="779"/>
      <c r="M556" s="779"/>
      <c r="N556" s="1375"/>
      <c r="O556" s="1375"/>
      <c r="P556" s="1376"/>
    </row>
    <row r="557" spans="1:16" ht="26.25" customHeight="1">
      <c r="A557" s="25"/>
      <c r="B557" s="27"/>
      <c r="C557" s="27">
        <v>1312</v>
      </c>
      <c r="D557" s="646" t="s">
        <v>3</v>
      </c>
      <c r="E557" s="646" t="s">
        <v>3</v>
      </c>
      <c r="F557" s="287"/>
      <c r="G557" s="774"/>
      <c r="H557" s="774"/>
      <c r="I557" s="774"/>
      <c r="J557" s="774"/>
      <c r="K557" s="774"/>
      <c r="L557" s="774"/>
      <c r="M557" s="774"/>
      <c r="N557" s="793"/>
      <c r="O557" s="793"/>
      <c r="P557" s="794"/>
    </row>
    <row r="558" spans="1:16" ht="30" customHeight="1">
      <c r="A558" s="25"/>
      <c r="B558" s="27"/>
      <c r="C558" s="32" t="s">
        <v>300</v>
      </c>
      <c r="D558" s="646">
        <v>0</v>
      </c>
      <c r="E558" s="646">
        <v>0</v>
      </c>
      <c r="F558" s="287">
        <f>D558-E558</f>
        <v>0</v>
      </c>
      <c r="G558" s="781" t="s">
        <v>120</v>
      </c>
      <c r="H558" s="759"/>
      <c r="I558" s="759"/>
      <c r="J558" s="759"/>
      <c r="K558" s="1351"/>
      <c r="L558" s="1351"/>
      <c r="M558" s="759"/>
      <c r="N558" s="1353"/>
      <c r="O558" s="1353"/>
      <c r="P558" s="1354"/>
    </row>
    <row r="559" spans="1:16" ht="27" customHeight="1">
      <c r="A559" s="25"/>
      <c r="B559" s="27"/>
      <c r="C559" s="28">
        <v>1313</v>
      </c>
      <c r="D559" s="647"/>
      <c r="E559" s="647"/>
      <c r="F559" s="288"/>
      <c r="G559" s="817"/>
      <c r="H559" s="783"/>
      <c r="I559" s="783"/>
      <c r="J559" s="783"/>
      <c r="K559" s="1382"/>
      <c r="L559" s="1382"/>
      <c r="M559" s="783"/>
      <c r="N559" s="1397"/>
      <c r="O559" s="1397"/>
      <c r="P559" s="1398"/>
    </row>
    <row r="560" spans="1:16" ht="30" customHeight="1">
      <c r="A560" s="25"/>
      <c r="B560" s="27"/>
      <c r="C560" s="33" t="s">
        <v>301</v>
      </c>
      <c r="D560" s="645">
        <v>0</v>
      </c>
      <c r="E560" s="645">
        <v>0</v>
      </c>
      <c r="F560" s="286">
        <f>D560-E560</f>
        <v>0</v>
      </c>
      <c r="G560" s="1386" t="s">
        <v>120</v>
      </c>
      <c r="H560" s="1387"/>
      <c r="I560" s="756"/>
      <c r="J560" s="756"/>
      <c r="K560" s="768"/>
      <c r="L560" s="768"/>
      <c r="M560" s="756"/>
      <c r="N560" s="1375" t="s">
        <v>120</v>
      </c>
      <c r="O560" s="1375"/>
      <c r="P560" s="1376"/>
    </row>
    <row r="561" spans="1:16" ht="29.25" customHeight="1">
      <c r="A561" s="25"/>
      <c r="B561" s="27"/>
      <c r="C561" s="27">
        <v>1314</v>
      </c>
      <c r="D561" s="646"/>
      <c r="E561" s="646"/>
      <c r="F561" s="287"/>
      <c r="G561" s="759" t="s">
        <v>964</v>
      </c>
      <c r="H561" s="759"/>
      <c r="I561" s="759"/>
      <c r="J561" s="759"/>
      <c r="K561" s="759"/>
      <c r="L561" s="759"/>
      <c r="M561" s="759"/>
      <c r="N561" s="761"/>
      <c r="O561" s="761"/>
      <c r="P561" s="762">
        <v>300000000</v>
      </c>
    </row>
    <row r="562" spans="1:16" ht="27.75" customHeight="1">
      <c r="A562" s="25"/>
      <c r="B562" s="27"/>
      <c r="C562" s="32" t="s">
        <v>302</v>
      </c>
      <c r="D562" s="646">
        <v>759925</v>
      </c>
      <c r="E562" s="655">
        <v>1000000</v>
      </c>
      <c r="F562" s="287">
        <f>D562-E562</f>
        <v>-240075</v>
      </c>
      <c r="G562" s="781" t="s">
        <v>6</v>
      </c>
      <c r="H562" s="759"/>
      <c r="I562" s="759"/>
      <c r="J562" s="759"/>
      <c r="K562" s="760"/>
      <c r="L562" s="760"/>
      <c r="M562" s="759"/>
      <c r="N562" s="761"/>
      <c r="O562" s="761"/>
      <c r="P562" s="762"/>
    </row>
    <row r="563" spans="1:16" ht="27.75" customHeight="1">
      <c r="A563" s="25"/>
      <c r="B563" s="27"/>
      <c r="C563" s="27"/>
      <c r="D563" s="646"/>
      <c r="E563" s="646"/>
      <c r="F563" s="287"/>
      <c r="G563" s="766" t="s">
        <v>666</v>
      </c>
      <c r="H563" s="773"/>
      <c r="I563" s="760"/>
      <c r="J563" s="760"/>
      <c r="K563" s="759"/>
      <c r="L563" s="759"/>
      <c r="M563" s="759"/>
      <c r="N563" s="1353">
        <v>360000000</v>
      </c>
      <c r="O563" s="1353"/>
      <c r="P563" s="1354"/>
    </row>
    <row r="564" spans="1:16" ht="27.75" customHeight="1">
      <c r="A564" s="25"/>
      <c r="B564" s="27"/>
      <c r="C564" s="27"/>
      <c r="D564" s="646"/>
      <c r="E564" s="646"/>
      <c r="F564" s="287"/>
      <c r="G564" s="766" t="s">
        <v>1152</v>
      </c>
      <c r="H564" s="773"/>
      <c r="I564" s="760"/>
      <c r="J564" s="760"/>
      <c r="K564" s="759"/>
      <c r="L564" s="759"/>
      <c r="M564" s="759"/>
      <c r="N564" s="761">
        <v>0</v>
      </c>
      <c r="O564" s="761"/>
      <c r="P564" s="762">
        <v>99925000</v>
      </c>
    </row>
    <row r="565" spans="1:16" ht="27.75" customHeight="1" hidden="1">
      <c r="A565" s="25"/>
      <c r="B565" s="27"/>
      <c r="C565" s="27"/>
      <c r="D565" s="646"/>
      <c r="E565" s="646"/>
      <c r="F565" s="287"/>
      <c r="G565" s="766" t="s">
        <v>642</v>
      </c>
      <c r="H565" s="773"/>
      <c r="I565" s="760"/>
      <c r="J565" s="760"/>
      <c r="K565" s="759"/>
      <c r="L565" s="759"/>
      <c r="M565" s="759"/>
      <c r="N565" s="761"/>
      <c r="O565" s="761"/>
      <c r="P565" s="762"/>
    </row>
    <row r="566" spans="1:16" ht="27.75" customHeight="1">
      <c r="A566" s="25"/>
      <c r="B566" s="27"/>
      <c r="C566" s="27"/>
      <c r="D566" s="646"/>
      <c r="E566" s="646"/>
      <c r="F566" s="287"/>
      <c r="G566" s="766" t="s">
        <v>1065</v>
      </c>
      <c r="H566" s="773"/>
      <c r="I566" s="760"/>
      <c r="J566" s="760"/>
      <c r="K566" s="759"/>
      <c r="L566" s="759"/>
      <c r="M566" s="759"/>
      <c r="N566" s="1353">
        <f>SUM(N563:P565)</f>
        <v>459925000</v>
      </c>
      <c r="O566" s="1353"/>
      <c r="P566" s="1354"/>
    </row>
    <row r="567" spans="1:16" ht="27.75" customHeight="1">
      <c r="A567" s="25"/>
      <c r="B567" s="27"/>
      <c r="C567" s="27"/>
      <c r="D567" s="646"/>
      <c r="E567" s="646"/>
      <c r="F567" s="287"/>
      <c r="G567" s="1368" t="s">
        <v>659</v>
      </c>
      <c r="H567" s="1369"/>
      <c r="I567" s="760"/>
      <c r="J567" s="760"/>
      <c r="K567" s="759"/>
      <c r="L567" s="759"/>
      <c r="M567" s="759"/>
      <c r="N567" s="761"/>
      <c r="O567" s="761"/>
      <c r="P567" s="762">
        <f>P561+N566</f>
        <v>759925000</v>
      </c>
    </row>
    <row r="568" spans="1:16" ht="22.5" customHeight="1">
      <c r="A568" s="25"/>
      <c r="B568" s="27"/>
      <c r="C568" s="28">
        <v>1315</v>
      </c>
      <c r="D568" s="647"/>
      <c r="E568" s="647"/>
      <c r="F568" s="288"/>
      <c r="G568" s="783" t="s">
        <v>3</v>
      </c>
      <c r="H568" s="769"/>
      <c r="I568" s="769"/>
      <c r="J568" s="769"/>
      <c r="K568" s="769"/>
      <c r="L568" s="769"/>
      <c r="M568" s="769"/>
      <c r="N568" s="769"/>
      <c r="O568" s="769"/>
      <c r="P568" s="825"/>
    </row>
    <row r="569" spans="1:16" ht="38.25" customHeight="1">
      <c r="A569" s="25"/>
      <c r="B569" s="27"/>
      <c r="C569" s="32" t="s">
        <v>303</v>
      </c>
      <c r="D569" s="646">
        <v>10772</v>
      </c>
      <c r="E569" s="655">
        <v>120000</v>
      </c>
      <c r="F569" s="287">
        <f>D569-E569</f>
        <v>-109228</v>
      </c>
      <c r="G569" s="759" t="s">
        <v>651</v>
      </c>
      <c r="H569" s="759"/>
      <c r="I569" s="759"/>
      <c r="J569" s="759"/>
      <c r="K569" s="759"/>
      <c r="L569" s="759"/>
      <c r="M569" s="759"/>
      <c r="N569" s="761"/>
      <c r="O569" s="761"/>
      <c r="P569" s="762" t="s">
        <v>652</v>
      </c>
    </row>
    <row r="570" spans="1:16" ht="30" customHeight="1" hidden="1">
      <c r="A570" s="25"/>
      <c r="B570" s="27"/>
      <c r="C570" s="32"/>
      <c r="D570" s="646"/>
      <c r="E570" s="646"/>
      <c r="F570" s="287"/>
      <c r="G570" s="773"/>
      <c r="H570" s="759"/>
      <c r="I570" s="759"/>
      <c r="J570" s="759"/>
      <c r="K570" s="759"/>
      <c r="L570" s="759"/>
      <c r="M570" s="759"/>
      <c r="N570" s="761"/>
      <c r="O570" s="761"/>
      <c r="P570" s="762"/>
    </row>
    <row r="571" spans="1:16" ht="30" customHeight="1">
      <c r="A571" s="25"/>
      <c r="B571" s="27"/>
      <c r="C571" s="27"/>
      <c r="D571" s="646"/>
      <c r="E571" s="646"/>
      <c r="F571" s="287"/>
      <c r="G571" s="773" t="s">
        <v>660</v>
      </c>
      <c r="H571" s="773"/>
      <c r="I571" s="773"/>
      <c r="J571" s="773"/>
      <c r="K571" s="773"/>
      <c r="L571" s="773"/>
      <c r="M571" s="773"/>
      <c r="N571" s="1351">
        <v>40000000</v>
      </c>
      <c r="O571" s="1351"/>
      <c r="P571" s="1352"/>
    </row>
    <row r="572" spans="1:16" ht="30" customHeight="1">
      <c r="A572" s="25"/>
      <c r="B572" s="27"/>
      <c r="C572" s="27"/>
      <c r="D572" s="646"/>
      <c r="E572" s="646"/>
      <c r="F572" s="287"/>
      <c r="G572" s="1368" t="s">
        <v>383</v>
      </c>
      <c r="H572" s="1369"/>
      <c r="I572" s="801"/>
      <c r="J572" s="801"/>
      <c r="K572" s="801"/>
      <c r="L572" s="801"/>
      <c r="M572" s="801"/>
      <c r="N572" s="1353">
        <f>SUM(N569:P571)</f>
        <v>40000000</v>
      </c>
      <c r="O572" s="1353"/>
      <c r="P572" s="1354"/>
    </row>
    <row r="573" spans="1:16" ht="30" customHeight="1">
      <c r="A573" s="25"/>
      <c r="B573" s="27"/>
      <c r="C573" s="27"/>
      <c r="D573" s="646"/>
      <c r="E573" s="646"/>
      <c r="F573" s="287"/>
      <c r="G573" s="781" t="s">
        <v>148</v>
      </c>
      <c r="H573" s="801"/>
      <c r="I573" s="801"/>
      <c r="J573" s="801"/>
      <c r="K573" s="801"/>
      <c r="L573" s="801"/>
      <c r="M573" s="801"/>
      <c r="N573" s="1351" t="s">
        <v>120</v>
      </c>
      <c r="O573" s="1351"/>
      <c r="P573" s="1352"/>
    </row>
    <row r="574" spans="1:16" ht="30" customHeight="1">
      <c r="A574" s="25"/>
      <c r="B574" s="27"/>
      <c r="C574" s="27"/>
      <c r="D574" s="646"/>
      <c r="E574" s="646"/>
      <c r="F574" s="287"/>
      <c r="G574" s="775" t="s">
        <v>1066</v>
      </c>
      <c r="H574" s="766"/>
      <c r="I574" s="766"/>
      <c r="J574" s="766"/>
      <c r="K574" s="766"/>
      <c r="L574" s="766"/>
      <c r="M574" s="766"/>
      <c r="N574" s="1353">
        <v>60772000</v>
      </c>
      <c r="O574" s="1353"/>
      <c r="P574" s="1354"/>
    </row>
    <row r="575" spans="1:16" ht="30" customHeight="1">
      <c r="A575" s="25"/>
      <c r="B575" s="27"/>
      <c r="C575" s="27"/>
      <c r="D575" s="646"/>
      <c r="E575" s="646"/>
      <c r="F575" s="287"/>
      <c r="G575" s="1368" t="s">
        <v>359</v>
      </c>
      <c r="H575" s="1369"/>
      <c r="I575" s="766"/>
      <c r="J575" s="766"/>
      <c r="K575" s="766"/>
      <c r="L575" s="766"/>
      <c r="M575" s="766"/>
      <c r="N575" s="761"/>
      <c r="O575" s="761"/>
      <c r="P575" s="762">
        <f>SUM(N574:P574)</f>
        <v>60772000</v>
      </c>
    </row>
    <row r="576" spans="1:16" ht="30" customHeight="1">
      <c r="A576" s="25"/>
      <c r="B576" s="27"/>
      <c r="C576" s="24"/>
      <c r="D576" s="645"/>
      <c r="E576" s="645"/>
      <c r="F576" s="286"/>
      <c r="G576" s="1386" t="s">
        <v>4</v>
      </c>
      <c r="H576" s="1387"/>
      <c r="I576" s="778"/>
      <c r="J576" s="778"/>
      <c r="K576" s="778"/>
      <c r="L576" s="756"/>
      <c r="M576" s="768"/>
      <c r="N576" s="1375">
        <f>SUM(N572+P575)</f>
        <v>100772000</v>
      </c>
      <c r="O576" s="1375"/>
      <c r="P576" s="1376"/>
    </row>
    <row r="577" spans="1:16" ht="31.5" customHeight="1">
      <c r="A577" s="25"/>
      <c r="B577" s="27"/>
      <c r="C577" s="27">
        <v>1316</v>
      </c>
      <c r="D577" s="646"/>
      <c r="E577" s="646"/>
      <c r="F577" s="287"/>
      <c r="G577" s="759"/>
      <c r="H577" s="773"/>
      <c r="I577" s="773"/>
      <c r="J577" s="773"/>
      <c r="K577" s="773"/>
      <c r="L577" s="759"/>
      <c r="M577" s="760"/>
      <c r="N577" s="761"/>
      <c r="O577" s="761"/>
      <c r="P577" s="762"/>
    </row>
    <row r="578" spans="1:16" ht="39" customHeight="1">
      <c r="A578" s="25"/>
      <c r="B578" s="27"/>
      <c r="C578" s="32" t="s">
        <v>98</v>
      </c>
      <c r="D578" s="653">
        <v>0</v>
      </c>
      <c r="E578" s="653">
        <v>15000</v>
      </c>
      <c r="F578" s="287">
        <f>D578-E578</f>
        <v>-15000</v>
      </c>
      <c r="G578" s="1368" t="s">
        <v>402</v>
      </c>
      <c r="H578" s="1369"/>
      <c r="I578" s="1369"/>
      <c r="J578" s="1369"/>
      <c r="K578" s="773"/>
      <c r="L578" s="759"/>
      <c r="M578" s="760"/>
      <c r="N578" s="1353" t="s">
        <v>3</v>
      </c>
      <c r="O578" s="1353"/>
      <c r="P578" s="1354"/>
    </row>
    <row r="579" spans="1:16" ht="31.5" customHeight="1">
      <c r="A579" s="25"/>
      <c r="B579" s="27"/>
      <c r="C579" s="28">
        <v>1317</v>
      </c>
      <c r="D579" s="647"/>
      <c r="E579" s="647"/>
      <c r="F579" s="288"/>
      <c r="G579" s="769"/>
      <c r="H579" s="769"/>
      <c r="I579" s="769"/>
      <c r="J579" s="769"/>
      <c r="K579" s="769"/>
      <c r="L579" s="769"/>
      <c r="M579" s="769"/>
      <c r="N579" s="769"/>
      <c r="O579" s="769"/>
      <c r="P579" s="825"/>
    </row>
    <row r="580" spans="1:16" ht="31.5" customHeight="1">
      <c r="A580" s="25"/>
      <c r="B580" s="27"/>
      <c r="C580" s="27" t="s">
        <v>304</v>
      </c>
      <c r="D580" s="646">
        <v>630320</v>
      </c>
      <c r="E580" s="655">
        <v>618000</v>
      </c>
      <c r="F580" s="287">
        <f>D580-E580</f>
        <v>12320</v>
      </c>
      <c r="G580" s="759" t="s">
        <v>651</v>
      </c>
      <c r="H580" s="759"/>
      <c r="I580" s="759"/>
      <c r="J580" s="759"/>
      <c r="K580" s="759"/>
      <c r="L580" s="759"/>
      <c r="M580" s="759"/>
      <c r="N580" s="1351" t="s">
        <v>652</v>
      </c>
      <c r="O580" s="1351"/>
      <c r="P580" s="1352"/>
    </row>
    <row r="581" spans="1:16" ht="31.5" customHeight="1">
      <c r="A581" s="25"/>
      <c r="B581" s="27"/>
      <c r="C581" s="27"/>
      <c r="D581" s="646"/>
      <c r="E581" s="646"/>
      <c r="F581" s="287"/>
      <c r="G581" s="773" t="s">
        <v>661</v>
      </c>
      <c r="H581" s="773"/>
      <c r="I581" s="773"/>
      <c r="J581" s="773"/>
      <c r="K581" s="773"/>
      <c r="L581" s="773"/>
      <c r="M581" s="773"/>
      <c r="N581" s="1351">
        <v>50000000</v>
      </c>
      <c r="O581" s="1351"/>
      <c r="P581" s="1352"/>
    </row>
    <row r="582" spans="1:16" ht="31.5" customHeight="1">
      <c r="A582" s="25"/>
      <c r="B582" s="27"/>
      <c r="C582" s="27"/>
      <c r="D582" s="646"/>
      <c r="E582" s="646"/>
      <c r="F582" s="287"/>
      <c r="G582" s="781" t="s">
        <v>662</v>
      </c>
      <c r="H582" s="796"/>
      <c r="I582" s="759"/>
      <c r="J582" s="759"/>
      <c r="K582" s="759"/>
      <c r="L582" s="759"/>
      <c r="M582" s="759"/>
      <c r="N582" s="1353">
        <v>300000000</v>
      </c>
      <c r="O582" s="1353"/>
      <c r="P582" s="1354"/>
    </row>
    <row r="583" spans="1:16" ht="31.5" customHeight="1">
      <c r="A583" s="25"/>
      <c r="B583" s="27"/>
      <c r="C583" s="27"/>
      <c r="D583" s="646"/>
      <c r="E583" s="646"/>
      <c r="F583" s="287"/>
      <c r="G583" s="1368" t="s">
        <v>383</v>
      </c>
      <c r="H583" s="1369"/>
      <c r="I583" s="759"/>
      <c r="J583" s="759"/>
      <c r="K583" s="759"/>
      <c r="L583" s="759"/>
      <c r="M583" s="759"/>
      <c r="N583" s="1353">
        <f>SUM(N581:P582)</f>
        <v>350000000</v>
      </c>
      <c r="O583" s="1353"/>
      <c r="P583" s="1354"/>
    </row>
    <row r="584" spans="1:16" ht="31.5" customHeight="1">
      <c r="A584" s="25"/>
      <c r="B584" s="27"/>
      <c r="C584" s="27"/>
      <c r="D584" s="646"/>
      <c r="E584" s="646"/>
      <c r="F584" s="287"/>
      <c r="G584" s="781" t="s">
        <v>148</v>
      </c>
      <c r="H584" s="796"/>
      <c r="I584" s="759"/>
      <c r="J584" s="759"/>
      <c r="K584" s="759"/>
      <c r="L584" s="759"/>
      <c r="M584" s="759"/>
      <c r="N584" s="761"/>
      <c r="O584" s="761"/>
      <c r="P584" s="762"/>
    </row>
    <row r="585" spans="1:16" ht="31.5" customHeight="1">
      <c r="A585" s="25"/>
      <c r="B585" s="27"/>
      <c r="C585" s="27"/>
      <c r="D585" s="646"/>
      <c r="E585" s="646"/>
      <c r="F585" s="287"/>
      <c r="G585" s="796" t="s">
        <v>305</v>
      </c>
      <c r="H585" s="773"/>
      <c r="I585" s="759"/>
      <c r="J585" s="759"/>
      <c r="K585" s="759"/>
      <c r="L585" s="759"/>
      <c r="M585" s="759"/>
      <c r="N585" s="1353">
        <v>50000000</v>
      </c>
      <c r="O585" s="1353"/>
      <c r="P585" s="1354"/>
    </row>
    <row r="586" spans="1:16" ht="31.5" customHeight="1">
      <c r="A586" s="25"/>
      <c r="B586" s="27"/>
      <c r="C586" s="27"/>
      <c r="D586" s="646"/>
      <c r="E586" s="646"/>
      <c r="F586" s="287"/>
      <c r="G586" s="796" t="s">
        <v>643</v>
      </c>
      <c r="H586" s="773"/>
      <c r="I586" s="759"/>
      <c r="J586" s="759"/>
      <c r="K586" s="759"/>
      <c r="L586" s="759"/>
      <c r="M586" s="759"/>
      <c r="N586" s="761"/>
      <c r="O586" s="761"/>
      <c r="P586" s="762">
        <v>223320000</v>
      </c>
    </row>
    <row r="587" spans="1:16" ht="31.5" customHeight="1">
      <c r="A587" s="25"/>
      <c r="B587" s="27"/>
      <c r="C587" s="27"/>
      <c r="D587" s="646"/>
      <c r="E587" s="646"/>
      <c r="F587" s="287"/>
      <c r="G587" s="796" t="s">
        <v>1151</v>
      </c>
      <c r="H587" s="773"/>
      <c r="I587" s="759"/>
      <c r="J587" s="759"/>
      <c r="K587" s="759"/>
      <c r="L587" s="759"/>
      <c r="M587" s="759"/>
      <c r="N587" s="1353">
        <f>4000000+3000000</f>
        <v>7000000</v>
      </c>
      <c r="O587" s="1353"/>
      <c r="P587" s="1354"/>
    </row>
    <row r="588" spans="1:16" ht="31.5" customHeight="1">
      <c r="A588" s="25"/>
      <c r="B588" s="27"/>
      <c r="C588" s="27"/>
      <c r="D588" s="646"/>
      <c r="E588" s="646"/>
      <c r="F588" s="287"/>
      <c r="G588" s="1368" t="s">
        <v>359</v>
      </c>
      <c r="H588" s="1369"/>
      <c r="I588" s="759"/>
      <c r="J588" s="759"/>
      <c r="K588" s="759"/>
      <c r="L588" s="759"/>
      <c r="M588" s="759"/>
      <c r="N588" s="761"/>
      <c r="O588" s="761"/>
      <c r="P588" s="762">
        <f>SUM(N585:P587)</f>
        <v>280320000</v>
      </c>
    </row>
    <row r="589" spans="1:16" ht="31.5" customHeight="1">
      <c r="A589" s="25"/>
      <c r="B589" s="27"/>
      <c r="C589" s="27"/>
      <c r="D589" s="646"/>
      <c r="E589" s="646"/>
      <c r="F589" s="287"/>
      <c r="G589" s="1386" t="s">
        <v>4</v>
      </c>
      <c r="H589" s="1387"/>
      <c r="I589" s="759"/>
      <c r="J589" s="759"/>
      <c r="K589" s="756"/>
      <c r="L589" s="756"/>
      <c r="M589" s="756"/>
      <c r="N589" s="1375">
        <f>SUM(+N583+P588)</f>
        <v>630320000</v>
      </c>
      <c r="O589" s="1375"/>
      <c r="P589" s="1376"/>
    </row>
    <row r="590" spans="1:16" ht="31.5" customHeight="1">
      <c r="A590" s="25"/>
      <c r="B590" s="27"/>
      <c r="C590" s="28">
        <v>1318</v>
      </c>
      <c r="D590" s="647"/>
      <c r="E590" s="647"/>
      <c r="F590" s="288"/>
      <c r="G590" s="815"/>
      <c r="H590" s="769"/>
      <c r="I590" s="769"/>
      <c r="J590" s="769"/>
      <c r="K590" s="774"/>
      <c r="L590" s="774"/>
      <c r="M590" s="774"/>
      <c r="N590" s="774"/>
      <c r="O590" s="774"/>
      <c r="P590" s="807"/>
    </row>
    <row r="591" spans="1:16" ht="36" customHeight="1">
      <c r="A591" s="25"/>
      <c r="B591" s="27"/>
      <c r="C591" s="33" t="s">
        <v>306</v>
      </c>
      <c r="D591" s="660">
        <v>0</v>
      </c>
      <c r="E591" s="660">
        <v>0</v>
      </c>
      <c r="F591" s="286">
        <f>D591-E591</f>
        <v>0</v>
      </c>
      <c r="G591" s="777" t="s">
        <v>644</v>
      </c>
      <c r="H591" s="800"/>
      <c r="I591" s="756"/>
      <c r="J591" s="756"/>
      <c r="K591" s="756"/>
      <c r="L591" s="756"/>
      <c r="M591" s="756"/>
      <c r="N591" s="757"/>
      <c r="O591" s="757"/>
      <c r="P591" s="758"/>
    </row>
    <row r="592" spans="1:16" ht="31.5" customHeight="1">
      <c r="A592" s="25"/>
      <c r="B592" s="27"/>
      <c r="C592" s="27">
        <v>1319</v>
      </c>
      <c r="D592" s="646"/>
      <c r="E592" s="646"/>
      <c r="F592" s="287"/>
      <c r="G592" s="819"/>
      <c r="H592" s="774"/>
      <c r="I592" s="774"/>
      <c r="J592" s="774"/>
      <c r="K592" s="774"/>
      <c r="L592" s="774"/>
      <c r="M592" s="774"/>
      <c r="N592" s="774"/>
      <c r="O592" s="774"/>
      <c r="P592" s="807"/>
    </row>
    <row r="593" spans="1:16" ht="31.5" customHeight="1">
      <c r="A593" s="25"/>
      <c r="B593" s="27"/>
      <c r="C593" s="27" t="s">
        <v>307</v>
      </c>
      <c r="D593" s="646">
        <v>0</v>
      </c>
      <c r="E593" s="646">
        <v>0</v>
      </c>
      <c r="F593" s="287">
        <f>D593-E593</f>
        <v>0</v>
      </c>
      <c r="G593" s="759"/>
      <c r="H593" s="759"/>
      <c r="I593" s="759"/>
      <c r="J593" s="759"/>
      <c r="K593" s="759"/>
      <c r="L593" s="759"/>
      <c r="M593" s="759"/>
      <c r="N593" s="761"/>
      <c r="O593" s="761"/>
      <c r="P593" s="762"/>
    </row>
    <row r="594" spans="1:16" ht="30" customHeight="1">
      <c r="A594" s="25"/>
      <c r="B594" s="27"/>
      <c r="C594" s="27"/>
      <c r="D594" s="646"/>
      <c r="E594" s="646"/>
      <c r="F594" s="287"/>
      <c r="G594" s="1368"/>
      <c r="H594" s="1369"/>
      <c r="I594" s="766"/>
      <c r="J594" s="766"/>
      <c r="K594" s="766"/>
      <c r="L594" s="766"/>
      <c r="M594" s="766"/>
      <c r="N594" s="761"/>
      <c r="O594" s="761"/>
      <c r="P594" s="762"/>
    </row>
    <row r="595" spans="1:16" ht="22.5" customHeight="1">
      <c r="A595" s="25"/>
      <c r="B595" s="28">
        <v>1320</v>
      </c>
      <c r="C595" s="28"/>
      <c r="D595" s="647"/>
      <c r="E595" s="647"/>
      <c r="F595" s="288"/>
      <c r="G595" s="783"/>
      <c r="H595" s="816"/>
      <c r="I595" s="783"/>
      <c r="J595" s="783"/>
      <c r="K595" s="783"/>
      <c r="L595" s="783"/>
      <c r="M595" s="765"/>
      <c r="N595" s="784"/>
      <c r="O595" s="784"/>
      <c r="P595" s="785"/>
    </row>
    <row r="596" spans="1:16" ht="30" customHeight="1">
      <c r="A596" s="25"/>
      <c r="B596" s="32" t="s">
        <v>308</v>
      </c>
      <c r="C596" s="24"/>
      <c r="D596" s="645">
        <f>D598</f>
        <v>17500</v>
      </c>
      <c r="E596" s="645">
        <f>E598</f>
        <v>0</v>
      </c>
      <c r="F596" s="286">
        <f>D596-E596</f>
        <v>17500</v>
      </c>
      <c r="G596" s="756"/>
      <c r="H596" s="800"/>
      <c r="I596" s="756"/>
      <c r="J596" s="756"/>
      <c r="K596" s="756"/>
      <c r="L596" s="756"/>
      <c r="M596" s="768"/>
      <c r="N596" s="757"/>
      <c r="O596" s="757"/>
      <c r="P596" s="758"/>
    </row>
    <row r="597" spans="1:16" ht="32.25" customHeight="1">
      <c r="A597" s="25"/>
      <c r="B597" s="27"/>
      <c r="C597" s="32">
        <v>1321</v>
      </c>
      <c r="D597" s="646"/>
      <c r="E597" s="646"/>
      <c r="F597" s="287"/>
      <c r="G597" s="759"/>
      <c r="H597" s="796"/>
      <c r="I597" s="759"/>
      <c r="J597" s="759"/>
      <c r="K597" s="759"/>
      <c r="L597" s="759"/>
      <c r="M597" s="760"/>
      <c r="N597" s="761"/>
      <c r="O597" s="761"/>
      <c r="P597" s="762"/>
    </row>
    <row r="598" spans="1:16" ht="32.25" customHeight="1">
      <c r="A598" s="952"/>
      <c r="B598" s="949"/>
      <c r="C598" s="951" t="s">
        <v>309</v>
      </c>
      <c r="D598" s="953">
        <v>17500</v>
      </c>
      <c r="E598" s="953">
        <v>0</v>
      </c>
      <c r="F598" s="950">
        <f>D598-E598</f>
        <v>17500</v>
      </c>
      <c r="G598" s="791" t="s">
        <v>120</v>
      </c>
      <c r="H598" s="818" t="s">
        <v>120</v>
      </c>
      <c r="I598" s="791"/>
      <c r="J598" s="791"/>
      <c r="K598" s="791"/>
      <c r="L598" s="791"/>
      <c r="M598" s="1143"/>
      <c r="N598" s="1375" t="s">
        <v>120</v>
      </c>
      <c r="O598" s="1375"/>
      <c r="P598" s="1376"/>
    </row>
    <row r="599" spans="1:16" ht="24" customHeight="1">
      <c r="A599" s="25">
        <v>2200</v>
      </c>
      <c r="B599" s="27"/>
      <c r="C599" s="27"/>
      <c r="D599" s="646"/>
      <c r="E599" s="646"/>
      <c r="F599" s="287"/>
      <c r="G599" s="759"/>
      <c r="H599" s="796"/>
      <c r="I599" s="759"/>
      <c r="J599" s="759"/>
      <c r="K599" s="759"/>
      <c r="L599" s="759"/>
      <c r="M599" s="760"/>
      <c r="N599" s="761"/>
      <c r="O599" s="761"/>
      <c r="P599" s="762"/>
    </row>
    <row r="600" spans="1:16" ht="32.25" customHeight="1">
      <c r="A600" s="42" t="s">
        <v>310</v>
      </c>
      <c r="B600" s="27"/>
      <c r="C600" s="27"/>
      <c r="D600" s="653">
        <f>SUM(D606,D602)</f>
        <v>0</v>
      </c>
      <c r="E600" s="653">
        <f>SUM(E606,E602)</f>
        <v>0</v>
      </c>
      <c r="F600" s="286">
        <f>D600-E600</f>
        <v>0</v>
      </c>
      <c r="G600" s="759"/>
      <c r="H600" s="796"/>
      <c r="I600" s="759"/>
      <c r="J600" s="759"/>
      <c r="K600" s="759"/>
      <c r="L600" s="759"/>
      <c r="M600" s="760"/>
      <c r="N600" s="761"/>
      <c r="O600" s="761"/>
      <c r="P600" s="762"/>
    </row>
    <row r="601" spans="1:16" ht="32.25" customHeight="1">
      <c r="A601" s="25"/>
      <c r="B601" s="28">
        <v>2210</v>
      </c>
      <c r="C601" s="28"/>
      <c r="D601" s="647"/>
      <c r="E601" s="647"/>
      <c r="F601" s="288"/>
      <c r="G601" s="783"/>
      <c r="H601" s="816"/>
      <c r="I601" s="783"/>
      <c r="J601" s="783"/>
      <c r="K601" s="783"/>
      <c r="L601" s="783"/>
      <c r="M601" s="765"/>
      <c r="N601" s="784"/>
      <c r="O601" s="784"/>
      <c r="P601" s="785"/>
    </row>
    <row r="602" spans="1:16" ht="32.25" customHeight="1">
      <c r="A602" s="25"/>
      <c r="B602" s="27" t="s">
        <v>311</v>
      </c>
      <c r="C602" s="24"/>
      <c r="D602" s="660">
        <f>D604</f>
        <v>0</v>
      </c>
      <c r="E602" s="660">
        <f>E604</f>
        <v>0</v>
      </c>
      <c r="F602" s="286">
        <f>D602-E602</f>
        <v>0</v>
      </c>
      <c r="G602" s="756"/>
      <c r="H602" s="800"/>
      <c r="I602" s="756"/>
      <c r="J602" s="756"/>
      <c r="K602" s="756"/>
      <c r="L602" s="756"/>
      <c r="M602" s="768"/>
      <c r="N602" s="757"/>
      <c r="O602" s="757"/>
      <c r="P602" s="758"/>
    </row>
    <row r="603" spans="1:16" ht="32.25" customHeight="1">
      <c r="A603" s="25"/>
      <c r="B603" s="27"/>
      <c r="C603" s="28">
        <v>2211</v>
      </c>
      <c r="D603" s="647"/>
      <c r="E603" s="647"/>
      <c r="F603" s="288"/>
      <c r="G603" s="815"/>
      <c r="H603" s="769"/>
      <c r="I603" s="769"/>
      <c r="J603" s="769"/>
      <c r="K603" s="769"/>
      <c r="L603" s="769"/>
      <c r="M603" s="769"/>
      <c r="N603" s="769"/>
      <c r="O603" s="769"/>
      <c r="P603" s="825"/>
    </row>
    <row r="604" spans="1:16" ht="32.25" customHeight="1">
      <c r="A604" s="25"/>
      <c r="B604" s="36"/>
      <c r="C604" s="27" t="s">
        <v>311</v>
      </c>
      <c r="D604" s="653">
        <v>0</v>
      </c>
      <c r="E604" s="653">
        <v>0</v>
      </c>
      <c r="F604" s="286">
        <f>D604-E604</f>
        <v>0</v>
      </c>
      <c r="G604" s="759" t="s">
        <v>120</v>
      </c>
      <c r="H604" s="796"/>
      <c r="I604" s="759"/>
      <c r="J604" s="759"/>
      <c r="K604" s="759"/>
      <c r="L604" s="759"/>
      <c r="M604" s="760"/>
      <c r="N604" s="761"/>
      <c r="O604" s="761"/>
      <c r="P604" s="762"/>
    </row>
    <row r="605" spans="1:16" ht="32.25" customHeight="1">
      <c r="A605" s="25"/>
      <c r="B605" s="28">
        <v>2220</v>
      </c>
      <c r="C605" s="28"/>
      <c r="D605" s="662"/>
      <c r="E605" s="662"/>
      <c r="F605" s="288"/>
      <c r="G605" s="783"/>
      <c r="H605" s="816"/>
      <c r="I605" s="783"/>
      <c r="J605" s="783"/>
      <c r="K605" s="783"/>
      <c r="L605" s="783"/>
      <c r="M605" s="765"/>
      <c r="N605" s="784"/>
      <c r="O605" s="784"/>
      <c r="P605" s="785"/>
    </row>
    <row r="606" spans="1:16" ht="32.25" customHeight="1">
      <c r="A606" s="25"/>
      <c r="B606" s="32" t="s">
        <v>312</v>
      </c>
      <c r="C606" s="24"/>
      <c r="D606" s="660">
        <f>SUM(D608)</f>
        <v>0</v>
      </c>
      <c r="E606" s="660">
        <f>SUM(E608)</f>
        <v>0</v>
      </c>
      <c r="F606" s="286">
        <f>D606-E606</f>
        <v>0</v>
      </c>
      <c r="G606" s="756"/>
      <c r="H606" s="800"/>
      <c r="I606" s="756"/>
      <c r="J606" s="756"/>
      <c r="K606" s="756"/>
      <c r="L606" s="756"/>
      <c r="M606" s="768"/>
      <c r="N606" s="757"/>
      <c r="O606" s="757"/>
      <c r="P606" s="758"/>
    </row>
    <row r="607" spans="1:16" ht="32.25" customHeight="1">
      <c r="A607" s="25"/>
      <c r="B607" s="27"/>
      <c r="C607" s="27">
        <v>2221</v>
      </c>
      <c r="D607" s="653"/>
      <c r="E607" s="653"/>
      <c r="F607" s="287"/>
      <c r="G607" s="759" t="s">
        <v>120</v>
      </c>
      <c r="H607" s="796"/>
      <c r="I607" s="759"/>
      <c r="J607" s="759"/>
      <c r="K607" s="759"/>
      <c r="L607" s="759"/>
      <c r="M607" s="760"/>
      <c r="N607" s="761"/>
      <c r="O607" s="761"/>
      <c r="P607" s="762"/>
    </row>
    <row r="608" spans="1:16" ht="32.25" customHeight="1">
      <c r="A608" s="25"/>
      <c r="B608" s="27"/>
      <c r="C608" s="27" t="s">
        <v>313</v>
      </c>
      <c r="D608" s="653">
        <v>0</v>
      </c>
      <c r="E608" s="653">
        <v>0</v>
      </c>
      <c r="F608" s="287">
        <f>D608-E608</f>
        <v>0</v>
      </c>
      <c r="G608" s="759"/>
      <c r="H608" s="774"/>
      <c r="I608" s="774"/>
      <c r="J608" s="774"/>
      <c r="K608" s="774"/>
      <c r="L608" s="774"/>
      <c r="M608" s="774"/>
      <c r="N608" s="774"/>
      <c r="O608" s="774"/>
      <c r="P608" s="807"/>
    </row>
    <row r="609" spans="1:16" s="108" customFormat="1" ht="32.25" customHeight="1">
      <c r="A609" s="952"/>
      <c r="B609" s="949"/>
      <c r="C609" s="949"/>
      <c r="D609" s="953"/>
      <c r="E609" s="953"/>
      <c r="F609" s="950"/>
      <c r="G609" s="791"/>
      <c r="H609" s="1072"/>
      <c r="I609" s="1072"/>
      <c r="J609" s="1072"/>
      <c r="K609" s="1072"/>
      <c r="L609" s="1072"/>
      <c r="M609" s="1072"/>
      <c r="N609" s="1378"/>
      <c r="O609" s="1378"/>
      <c r="P609" s="1379"/>
    </row>
    <row r="610" spans="1:16" ht="51.75" customHeight="1">
      <c r="A610" s="1122" t="s">
        <v>315</v>
      </c>
      <c r="B610" s="1123" t="s">
        <v>316</v>
      </c>
      <c r="C610" s="1124"/>
      <c r="D610" s="1125">
        <v>6697317</v>
      </c>
      <c r="E610" s="1125">
        <v>1456139</v>
      </c>
      <c r="F610" s="1126">
        <f>D610-E610</f>
        <v>5241178</v>
      </c>
      <c r="G610" s="1127"/>
      <c r="H610" s="1128"/>
      <c r="I610" s="1128"/>
      <c r="J610" s="1128"/>
      <c r="K610" s="1128"/>
      <c r="L610" s="1128"/>
      <c r="M610" s="1128"/>
      <c r="N610" s="1395"/>
      <c r="O610" s="1395"/>
      <c r="P610" s="1396"/>
    </row>
    <row r="611" spans="1:16" ht="26.25" customHeight="1">
      <c r="A611" s="25"/>
      <c r="B611" s="27">
        <v>1100</v>
      </c>
      <c r="C611" s="27"/>
      <c r="D611" s="646"/>
      <c r="E611" s="646"/>
      <c r="F611" s="287"/>
      <c r="G611" s="781"/>
      <c r="H611" s="759"/>
      <c r="I611" s="759"/>
      <c r="J611" s="759"/>
      <c r="K611" s="759"/>
      <c r="L611" s="759"/>
      <c r="M611" s="759"/>
      <c r="N611" s="1353"/>
      <c r="O611" s="1353"/>
      <c r="P611" s="1354"/>
    </row>
    <row r="612" spans="1:16" ht="30" customHeight="1">
      <c r="A612" s="25"/>
      <c r="B612" s="32" t="s">
        <v>317</v>
      </c>
      <c r="C612" s="24"/>
      <c r="D612" s="645">
        <f>D614+D616</f>
        <v>6697317</v>
      </c>
      <c r="E612" s="645">
        <f>E614+E616</f>
        <v>7108171</v>
      </c>
      <c r="F612" s="286">
        <f>D612-E612</f>
        <v>-410854</v>
      </c>
      <c r="G612" s="756"/>
      <c r="H612" s="756"/>
      <c r="I612" s="756"/>
      <c r="J612" s="756"/>
      <c r="K612" s="756"/>
      <c r="L612" s="756"/>
      <c r="M612" s="756"/>
      <c r="N612" s="1375"/>
      <c r="O612" s="1375"/>
      <c r="P612" s="1376"/>
    </row>
    <row r="613" spans="1:16" ht="25.5" customHeight="1">
      <c r="A613" s="25"/>
      <c r="B613" s="27"/>
      <c r="C613" s="27">
        <v>1110</v>
      </c>
      <c r="D613" s="646"/>
      <c r="E613" s="646"/>
      <c r="F613" s="287"/>
      <c r="G613" s="759"/>
      <c r="H613" s="759"/>
      <c r="I613" s="759"/>
      <c r="J613" s="759"/>
      <c r="K613" s="759"/>
      <c r="L613" s="759"/>
      <c r="M613" s="759"/>
      <c r="N613" s="1397"/>
      <c r="O613" s="1397"/>
      <c r="P613" s="1398"/>
    </row>
    <row r="614" spans="1:16" ht="30" customHeight="1">
      <c r="A614" s="25"/>
      <c r="B614" s="27"/>
      <c r="C614" s="24" t="s">
        <v>318</v>
      </c>
      <c r="D614" s="645">
        <f>D610</f>
        <v>6697317</v>
      </c>
      <c r="E614" s="645">
        <v>7108171</v>
      </c>
      <c r="F614" s="286">
        <f>D614-E614</f>
        <v>-410854</v>
      </c>
      <c r="G614" s="756"/>
      <c r="H614" s="756"/>
      <c r="I614" s="756"/>
      <c r="J614" s="756"/>
      <c r="K614" s="756"/>
      <c r="L614" s="756"/>
      <c r="M614" s="756"/>
      <c r="N614" s="1375"/>
      <c r="O614" s="1375"/>
      <c r="P614" s="1376"/>
    </row>
    <row r="615" spans="1:16" ht="17.25" customHeight="1">
      <c r="A615" s="25"/>
      <c r="B615" s="27"/>
      <c r="C615" s="27">
        <v>1120</v>
      </c>
      <c r="D615" s="663"/>
      <c r="E615" s="663"/>
      <c r="F615" s="231"/>
      <c r="G615" s="759"/>
      <c r="H615" s="759"/>
      <c r="I615" s="759"/>
      <c r="J615" s="759"/>
      <c r="K615" s="759"/>
      <c r="L615" s="759"/>
      <c r="M615" s="759"/>
      <c r="N615" s="1353"/>
      <c r="O615" s="1353"/>
      <c r="P615" s="1354"/>
    </row>
    <row r="616" spans="1:16" ht="30" customHeight="1">
      <c r="A616" s="25"/>
      <c r="B616" s="27"/>
      <c r="C616" s="32" t="s">
        <v>319</v>
      </c>
      <c r="D616" s="663">
        <v>0</v>
      </c>
      <c r="E616" s="663">
        <v>0</v>
      </c>
      <c r="F616" s="286">
        <f>D616-E616</f>
        <v>0</v>
      </c>
      <c r="G616" s="759"/>
      <c r="H616" s="759"/>
      <c r="I616" s="759"/>
      <c r="J616" s="759"/>
      <c r="K616" s="759"/>
      <c r="L616" s="759"/>
      <c r="M616" s="759"/>
      <c r="N616" s="1375"/>
      <c r="O616" s="1375"/>
      <c r="P616" s="1376"/>
    </row>
    <row r="617" spans="1:16" ht="26.25" customHeight="1">
      <c r="A617" s="25"/>
      <c r="B617" s="28">
        <v>2100</v>
      </c>
      <c r="C617" s="28"/>
      <c r="D617" s="664"/>
      <c r="E617" s="664"/>
      <c r="F617" s="288"/>
      <c r="G617" s="783"/>
      <c r="H617" s="783"/>
      <c r="I617" s="783"/>
      <c r="J617" s="783"/>
      <c r="K617" s="783"/>
      <c r="L617" s="783"/>
      <c r="M617" s="783"/>
      <c r="N617" s="1397"/>
      <c r="O617" s="1397"/>
      <c r="P617" s="1398"/>
    </row>
    <row r="618" spans="1:16" ht="30" customHeight="1">
      <c r="A618" s="25"/>
      <c r="B618" s="32" t="s">
        <v>320</v>
      </c>
      <c r="C618" s="24"/>
      <c r="D618" s="665">
        <f>D620+D622+D624</f>
        <v>0</v>
      </c>
      <c r="E618" s="665">
        <f>E620+E622+E624</f>
        <v>0</v>
      </c>
      <c r="F618" s="286">
        <f>D618-E618</f>
        <v>0</v>
      </c>
      <c r="G618" s="756"/>
      <c r="H618" s="756"/>
      <c r="I618" s="756"/>
      <c r="J618" s="756"/>
      <c r="K618" s="756"/>
      <c r="L618" s="756"/>
      <c r="M618" s="756"/>
      <c r="N618" s="1375"/>
      <c r="O618" s="1375"/>
      <c r="P618" s="1376"/>
    </row>
    <row r="619" spans="1:16" ht="18" customHeight="1">
      <c r="A619" s="25"/>
      <c r="B619" s="27"/>
      <c r="C619" s="27">
        <v>2120</v>
      </c>
      <c r="D619" s="663"/>
      <c r="E619" s="663"/>
      <c r="F619" s="287"/>
      <c r="G619" s="759"/>
      <c r="H619" s="759"/>
      <c r="I619" s="759"/>
      <c r="J619" s="759"/>
      <c r="K619" s="759"/>
      <c r="L619" s="759"/>
      <c r="M619" s="759"/>
      <c r="N619" s="1353"/>
      <c r="O619" s="1353"/>
      <c r="P619" s="1354"/>
    </row>
    <row r="620" spans="1:16" ht="27" customHeight="1">
      <c r="A620" s="25"/>
      <c r="B620" s="27"/>
      <c r="C620" s="27" t="s">
        <v>321</v>
      </c>
      <c r="D620" s="663">
        <v>0</v>
      </c>
      <c r="E620" s="663">
        <v>0</v>
      </c>
      <c r="F620" s="286">
        <f>D620-E620</f>
        <v>0</v>
      </c>
      <c r="G620" s="759"/>
      <c r="H620" s="759"/>
      <c r="I620" s="759"/>
      <c r="J620" s="759"/>
      <c r="K620" s="759"/>
      <c r="L620" s="759"/>
      <c r="M620" s="759"/>
      <c r="N620" s="1375"/>
      <c r="O620" s="1375"/>
      <c r="P620" s="1376"/>
    </row>
    <row r="621" spans="1:16" ht="27" customHeight="1">
      <c r="A621" s="25"/>
      <c r="B621" s="27"/>
      <c r="C621" s="28">
        <v>2130</v>
      </c>
      <c r="D621" s="664"/>
      <c r="E621" s="664"/>
      <c r="F621" s="288"/>
      <c r="G621" s="783"/>
      <c r="H621" s="783"/>
      <c r="I621" s="783"/>
      <c r="J621" s="783"/>
      <c r="K621" s="783"/>
      <c r="L621" s="783"/>
      <c r="M621" s="783"/>
      <c r="N621" s="1397"/>
      <c r="O621" s="1397"/>
      <c r="P621" s="1398"/>
    </row>
    <row r="622" spans="1:16" ht="21" customHeight="1">
      <c r="A622" s="25"/>
      <c r="B622" s="27"/>
      <c r="C622" s="24" t="s">
        <v>322</v>
      </c>
      <c r="D622" s="665">
        <v>0</v>
      </c>
      <c r="E622" s="665">
        <v>0</v>
      </c>
      <c r="F622" s="286">
        <f>D622-E622</f>
        <v>0</v>
      </c>
      <c r="G622" s="756"/>
      <c r="H622" s="756"/>
      <c r="I622" s="756"/>
      <c r="J622" s="756"/>
      <c r="K622" s="756"/>
      <c r="L622" s="756"/>
      <c r="M622" s="756"/>
      <c r="N622" s="1375"/>
      <c r="O622" s="1375"/>
      <c r="P622" s="1376"/>
    </row>
    <row r="623" spans="1:16" ht="20.25" customHeight="1">
      <c r="A623" s="25"/>
      <c r="B623" s="27"/>
      <c r="C623" s="27">
        <v>2140</v>
      </c>
      <c r="D623" s="663"/>
      <c r="E623" s="663"/>
      <c r="F623" s="287"/>
      <c r="G623" s="759"/>
      <c r="H623" s="759"/>
      <c r="I623" s="759"/>
      <c r="J623" s="759"/>
      <c r="K623" s="759"/>
      <c r="L623" s="759"/>
      <c r="M623" s="759"/>
      <c r="N623" s="1353"/>
      <c r="O623" s="1353"/>
      <c r="P623" s="1354"/>
    </row>
    <row r="624" spans="1:16" ht="38.25" customHeight="1">
      <c r="A624" s="29"/>
      <c r="B624" s="30"/>
      <c r="C624" s="124" t="s">
        <v>323</v>
      </c>
      <c r="D624" s="666">
        <v>0</v>
      </c>
      <c r="E624" s="666">
        <v>0</v>
      </c>
      <c r="F624" s="289">
        <f>E624-D624</f>
        <v>0</v>
      </c>
      <c r="G624" s="772"/>
      <c r="H624" s="772"/>
      <c r="I624" s="772"/>
      <c r="J624" s="772"/>
      <c r="K624" s="772"/>
      <c r="L624" s="772"/>
      <c r="M624" s="772"/>
      <c r="N624" s="1384"/>
      <c r="O624" s="1384"/>
      <c r="P624" s="1385"/>
    </row>
    <row r="625" spans="5:13" ht="20.25" customHeight="1">
      <c r="E625" s="374"/>
      <c r="F625" s="31"/>
      <c r="G625" s="826"/>
      <c r="H625" s="826"/>
      <c r="I625" s="826"/>
      <c r="J625" s="826"/>
      <c r="K625" s="826"/>
      <c r="L625" s="826"/>
      <c r="M625" s="826"/>
    </row>
    <row r="626" spans="5:13" ht="20.25" customHeight="1">
      <c r="E626" s="374"/>
      <c r="F626" s="31"/>
      <c r="G626" s="826"/>
      <c r="H626" s="826"/>
      <c r="I626" s="826"/>
      <c r="J626" s="826"/>
      <c r="K626" s="826"/>
      <c r="L626" s="826"/>
      <c r="M626" s="826"/>
    </row>
    <row r="627" spans="5:13" ht="20.25" customHeight="1">
      <c r="E627" s="374"/>
      <c r="F627" s="31"/>
      <c r="G627" s="826"/>
      <c r="H627" s="826"/>
      <c r="I627" s="826"/>
      <c r="J627" s="826"/>
      <c r="K627" s="826"/>
      <c r="L627" s="826"/>
      <c r="M627" s="826"/>
    </row>
    <row r="628" spans="5:13" ht="20.25" customHeight="1">
      <c r="E628" s="374"/>
      <c r="F628" s="31"/>
      <c r="G628" s="826"/>
      <c r="H628" s="826"/>
      <c r="I628" s="826"/>
      <c r="J628" s="826"/>
      <c r="K628" s="826"/>
      <c r="L628" s="826"/>
      <c r="M628" s="826"/>
    </row>
    <row r="629" spans="5:13" ht="20.25" customHeight="1">
      <c r="E629" s="374"/>
      <c r="F629" s="31"/>
      <c r="G629" s="826"/>
      <c r="H629" s="826"/>
      <c r="I629" s="826"/>
      <c r="J629" s="826"/>
      <c r="K629" s="826"/>
      <c r="L629" s="826"/>
      <c r="M629" s="826"/>
    </row>
    <row r="630" spans="5:13" ht="20.25" customHeight="1">
      <c r="E630" s="374"/>
      <c r="F630" s="31"/>
      <c r="G630" s="826"/>
      <c r="H630" s="826"/>
      <c r="I630" s="826"/>
      <c r="J630" s="826"/>
      <c r="K630" s="826"/>
      <c r="L630" s="826"/>
      <c r="M630" s="826"/>
    </row>
    <row r="631" spans="5:13" ht="20.25" customHeight="1">
      <c r="E631" s="374"/>
      <c r="F631" s="31"/>
      <c r="G631" s="826"/>
      <c r="H631" s="826"/>
      <c r="I631" s="826"/>
      <c r="J631" s="826"/>
      <c r="K631" s="826"/>
      <c r="L631" s="826"/>
      <c r="M631" s="826"/>
    </row>
    <row r="632" spans="5:13" ht="20.25" customHeight="1">
      <c r="E632" s="374"/>
      <c r="F632" s="31"/>
      <c r="G632" s="826"/>
      <c r="H632" s="826"/>
      <c r="I632" s="826"/>
      <c r="J632" s="826"/>
      <c r="K632" s="826"/>
      <c r="L632" s="826"/>
      <c r="M632" s="826"/>
    </row>
    <row r="633" spans="5:13" ht="20.25" customHeight="1">
      <c r="E633" s="374"/>
      <c r="F633" s="31"/>
      <c r="G633" s="826"/>
      <c r="H633" s="826"/>
      <c r="I633" s="826"/>
      <c r="J633" s="826"/>
      <c r="K633" s="826"/>
      <c r="L633" s="826"/>
      <c r="M633" s="826"/>
    </row>
    <row r="634" spans="5:13" ht="20.25" customHeight="1">
      <c r="E634" s="374"/>
      <c r="F634" s="31"/>
      <c r="G634" s="826"/>
      <c r="H634" s="826"/>
      <c r="I634" s="826"/>
      <c r="J634" s="826"/>
      <c r="K634" s="826"/>
      <c r="L634" s="826"/>
      <c r="M634" s="826"/>
    </row>
    <row r="635" spans="5:13" ht="20.25" customHeight="1">
      <c r="E635" s="374"/>
      <c r="F635" s="31"/>
      <c r="G635" s="826"/>
      <c r="H635" s="826"/>
      <c r="I635" s="826"/>
      <c r="J635" s="826"/>
      <c r="K635" s="826"/>
      <c r="L635" s="826"/>
      <c r="M635" s="826"/>
    </row>
    <row r="636" spans="5:13" ht="20.25" customHeight="1">
      <c r="E636" s="374"/>
      <c r="F636" s="31"/>
      <c r="G636" s="826"/>
      <c r="H636" s="826"/>
      <c r="I636" s="826"/>
      <c r="J636" s="826"/>
      <c r="K636" s="826"/>
      <c r="L636" s="826"/>
      <c r="M636" s="826"/>
    </row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</sheetData>
  <sheetProtection/>
  <mergeCells count="540">
    <mergeCell ref="N334:P334"/>
    <mergeCell ref="N246:P246"/>
    <mergeCell ref="G401:M401"/>
    <mergeCell ref="G490:H490"/>
    <mergeCell ref="N356:P356"/>
    <mergeCell ref="N335:P335"/>
    <mergeCell ref="N341:P341"/>
    <mergeCell ref="N449:P449"/>
    <mergeCell ref="G461:H461"/>
    <mergeCell ref="N446:P446"/>
    <mergeCell ref="N248:P248"/>
    <mergeCell ref="O325:P325"/>
    <mergeCell ref="K208:M208"/>
    <mergeCell ref="N211:P211"/>
    <mergeCell ref="N220:P220"/>
    <mergeCell ref="N210:P210"/>
    <mergeCell ref="L246:M246"/>
    <mergeCell ref="L241:M241"/>
    <mergeCell ref="N230:P230"/>
    <mergeCell ref="N224:P224"/>
    <mergeCell ref="L308:M308"/>
    <mergeCell ref="N308:P308"/>
    <mergeCell ref="G497:H497"/>
    <mergeCell ref="N350:P350"/>
    <mergeCell ref="N346:P346"/>
    <mergeCell ref="N339:P339"/>
    <mergeCell ref="N344:P344"/>
    <mergeCell ref="N227:P227"/>
    <mergeCell ref="N240:P240"/>
    <mergeCell ref="N524:P524"/>
    <mergeCell ref="N523:P523"/>
    <mergeCell ref="G493:H493"/>
    <mergeCell ref="G494:H494"/>
    <mergeCell ref="N511:P511"/>
    <mergeCell ref="N522:P522"/>
    <mergeCell ref="G512:H512"/>
    <mergeCell ref="G513:H513"/>
    <mergeCell ref="N519:P519"/>
    <mergeCell ref="G509:H509"/>
    <mergeCell ref="G567:H567"/>
    <mergeCell ref="N556:P556"/>
    <mergeCell ref="N551:P551"/>
    <mergeCell ref="N558:P558"/>
    <mergeCell ref="N560:P560"/>
    <mergeCell ref="N553:P553"/>
    <mergeCell ref="K559:L559"/>
    <mergeCell ref="K558:L558"/>
    <mergeCell ref="G560:H560"/>
    <mergeCell ref="N566:P566"/>
    <mergeCell ref="G594:H594"/>
    <mergeCell ref="G572:H572"/>
    <mergeCell ref="G575:H575"/>
    <mergeCell ref="G576:H576"/>
    <mergeCell ref="G583:H583"/>
    <mergeCell ref="N573:P573"/>
    <mergeCell ref="G588:H588"/>
    <mergeCell ref="G589:H589"/>
    <mergeCell ref="N583:P583"/>
    <mergeCell ref="N576:P576"/>
    <mergeCell ref="K554:L554"/>
    <mergeCell ref="N530:P530"/>
    <mergeCell ref="N526:P526"/>
    <mergeCell ref="N533:P533"/>
    <mergeCell ref="N531:P531"/>
    <mergeCell ref="N541:P541"/>
    <mergeCell ref="N535:P535"/>
    <mergeCell ref="N529:P529"/>
    <mergeCell ref="N527:P527"/>
    <mergeCell ref="N554:P554"/>
    <mergeCell ref="N452:P452"/>
    <mergeCell ref="N478:P478"/>
    <mergeCell ref="N461:P461"/>
    <mergeCell ref="N463:P463"/>
    <mergeCell ref="N453:P453"/>
    <mergeCell ref="N455:P455"/>
    <mergeCell ref="N482:P482"/>
    <mergeCell ref="G473:H473"/>
    <mergeCell ref="N465:P465"/>
    <mergeCell ref="G466:M466"/>
    <mergeCell ref="G472:H472"/>
    <mergeCell ref="G457:H457"/>
    <mergeCell ref="G477:H477"/>
    <mergeCell ref="N477:P477"/>
    <mergeCell ref="N466:P466"/>
    <mergeCell ref="N476:P476"/>
    <mergeCell ref="G456:H456"/>
    <mergeCell ref="G453:H453"/>
    <mergeCell ref="G483:H483"/>
    <mergeCell ref="N489:P489"/>
    <mergeCell ref="N480:P480"/>
    <mergeCell ref="N473:P473"/>
    <mergeCell ref="N483:P483"/>
    <mergeCell ref="N479:P479"/>
    <mergeCell ref="G484:H484"/>
    <mergeCell ref="N484:P484"/>
    <mergeCell ref="N439:P439"/>
    <mergeCell ref="A6:A7"/>
    <mergeCell ref="N13:P13"/>
    <mergeCell ref="N79:P79"/>
    <mergeCell ref="L69:M69"/>
    <mergeCell ref="L70:M70"/>
    <mergeCell ref="N316:P316"/>
    <mergeCell ref="N434:P434"/>
    <mergeCell ref="L130:M130"/>
    <mergeCell ref="N196:P196"/>
    <mergeCell ref="L71:M71"/>
    <mergeCell ref="N33:P33"/>
    <mergeCell ref="N51:P51"/>
    <mergeCell ref="N40:P40"/>
    <mergeCell ref="N49:P49"/>
    <mergeCell ref="N58:P58"/>
    <mergeCell ref="N34:P34"/>
    <mergeCell ref="N36:P36"/>
    <mergeCell ref="N70:P70"/>
    <mergeCell ref="N35:P35"/>
    <mergeCell ref="N54:P54"/>
    <mergeCell ref="N151:P151"/>
    <mergeCell ref="N171:P171"/>
    <mergeCell ref="D4:D5"/>
    <mergeCell ref="F4:F5"/>
    <mergeCell ref="N14:P14"/>
    <mergeCell ref="N15:P15"/>
    <mergeCell ref="G4:P5"/>
    <mergeCell ref="E4:E5"/>
    <mergeCell ref="N12:P12"/>
    <mergeCell ref="N153:P153"/>
    <mergeCell ref="N147:P147"/>
    <mergeCell ref="N113:P113"/>
    <mergeCell ref="N162:P162"/>
    <mergeCell ref="N148:P148"/>
    <mergeCell ref="M159:P159"/>
    <mergeCell ref="L157:M157"/>
    <mergeCell ref="N126:P126"/>
    <mergeCell ref="N123:P123"/>
    <mergeCell ref="L154:M154"/>
    <mergeCell ref="N245:P245"/>
    <mergeCell ref="L242:M242"/>
    <mergeCell ref="L245:M245"/>
    <mergeCell ref="N157:P157"/>
    <mergeCell ref="N165:P165"/>
    <mergeCell ref="N164:P164"/>
    <mergeCell ref="N206:P206"/>
    <mergeCell ref="N231:P231"/>
    <mergeCell ref="G165:L165"/>
    <mergeCell ref="N194:P194"/>
    <mergeCell ref="N399:P399"/>
    <mergeCell ref="N233:P233"/>
    <mergeCell ref="N232:P232"/>
    <mergeCell ref="N342:P342"/>
    <mergeCell ref="N295:P295"/>
    <mergeCell ref="N292:P292"/>
    <mergeCell ref="N372:P372"/>
    <mergeCell ref="N369:P369"/>
    <mergeCell ref="N366:P366"/>
    <mergeCell ref="N239:P239"/>
    <mergeCell ref="N163:P163"/>
    <mergeCell ref="N144:P144"/>
    <mergeCell ref="N137:P137"/>
    <mergeCell ref="N416:P416"/>
    <mergeCell ref="N374:P374"/>
    <mergeCell ref="N393:P393"/>
    <mergeCell ref="N390:P390"/>
    <mergeCell ref="N406:P406"/>
    <mergeCell ref="N398:P398"/>
    <mergeCell ref="N409:P409"/>
    <mergeCell ref="N432:P432"/>
    <mergeCell ref="N431:P431"/>
    <mergeCell ref="N435:P435"/>
    <mergeCell ref="N436:P436"/>
    <mergeCell ref="G133:M133"/>
    <mergeCell ref="N169:P169"/>
    <mergeCell ref="N180:P180"/>
    <mergeCell ref="G311:L311"/>
    <mergeCell ref="N204:P204"/>
    <mergeCell ref="N205:P205"/>
    <mergeCell ref="N474:P474"/>
    <mergeCell ref="N427:P427"/>
    <mergeCell ref="N420:P420"/>
    <mergeCell ref="N492:P492"/>
    <mergeCell ref="N447:P447"/>
    <mergeCell ref="N444:P444"/>
    <mergeCell ref="N440:P440"/>
    <mergeCell ref="N437:P437"/>
    <mergeCell ref="N438:P438"/>
    <mergeCell ref="N430:P430"/>
    <mergeCell ref="N410:P410"/>
    <mergeCell ref="N503:P503"/>
    <mergeCell ref="N508:P508"/>
    <mergeCell ref="N490:P490"/>
    <mergeCell ref="N457:P457"/>
    <mergeCell ref="N467:P467"/>
    <mergeCell ref="N468:P468"/>
    <mergeCell ref="N433:P433"/>
    <mergeCell ref="N429:P429"/>
    <mergeCell ref="N494:P494"/>
    <mergeCell ref="N384:P384"/>
    <mergeCell ref="N413:P413"/>
    <mergeCell ref="N370:P370"/>
    <mergeCell ref="N373:P373"/>
    <mergeCell ref="N394:P394"/>
    <mergeCell ref="N392:P392"/>
    <mergeCell ref="N401:P401"/>
    <mergeCell ref="N402:P402"/>
    <mergeCell ref="N371:P371"/>
    <mergeCell ref="N396:P396"/>
    <mergeCell ref="N426:P426"/>
    <mergeCell ref="N425:P425"/>
    <mergeCell ref="N422:P422"/>
    <mergeCell ref="N417:P417"/>
    <mergeCell ref="N349:P349"/>
    <mergeCell ref="N428:P428"/>
    <mergeCell ref="N379:P379"/>
    <mergeCell ref="N381:P381"/>
    <mergeCell ref="O368:P368"/>
    <mergeCell ref="N391:P391"/>
    <mergeCell ref="N202:P202"/>
    <mergeCell ref="N272:P272"/>
    <mergeCell ref="N271:P271"/>
    <mergeCell ref="N259:P259"/>
    <mergeCell ref="N263:P263"/>
    <mergeCell ref="N254:P254"/>
    <mergeCell ref="N270:P270"/>
    <mergeCell ref="N256:P256"/>
    <mergeCell ref="N242:P242"/>
    <mergeCell ref="N244:P244"/>
    <mergeCell ref="N228:P228"/>
    <mergeCell ref="N258:P258"/>
    <mergeCell ref="N354:P354"/>
    <mergeCell ref="N358:P358"/>
    <mergeCell ref="N367:P367"/>
    <mergeCell ref="N359:P359"/>
    <mergeCell ref="N364:P364"/>
    <mergeCell ref="N361:P361"/>
    <mergeCell ref="N306:P306"/>
    <mergeCell ref="N265:P265"/>
    <mergeCell ref="N175:P175"/>
    <mergeCell ref="N208:P208"/>
    <mergeCell ref="N352:P352"/>
    <mergeCell ref="N330:P330"/>
    <mergeCell ref="N267:P267"/>
    <mergeCell ref="O345:P345"/>
    <mergeCell ref="N266:P266"/>
    <mergeCell ref="N219:P219"/>
    <mergeCell ref="N217:P217"/>
    <mergeCell ref="N188:P188"/>
    <mergeCell ref="N193:P193"/>
    <mergeCell ref="N128:P128"/>
    <mergeCell ref="N187:P187"/>
    <mergeCell ref="N178:P178"/>
    <mergeCell ref="N179:P179"/>
    <mergeCell ref="N168:P168"/>
    <mergeCell ref="N130:P130"/>
    <mergeCell ref="N145:P145"/>
    <mergeCell ref="N155:P155"/>
    <mergeCell ref="N133:P133"/>
    <mergeCell ref="N107:P107"/>
    <mergeCell ref="N105:P105"/>
    <mergeCell ref="N124:P124"/>
    <mergeCell ref="N119:P119"/>
    <mergeCell ref="N112:P112"/>
    <mergeCell ref="N118:P118"/>
    <mergeCell ref="N108:P108"/>
    <mergeCell ref="N116:P116"/>
    <mergeCell ref="N37:P37"/>
    <mergeCell ref="N43:P43"/>
    <mergeCell ref="N52:P52"/>
    <mergeCell ref="N46:P46"/>
    <mergeCell ref="N47:P47"/>
    <mergeCell ref="N41:P41"/>
    <mergeCell ref="N44:P44"/>
    <mergeCell ref="N45:P45"/>
    <mergeCell ref="N48:P48"/>
    <mergeCell ref="N50:P50"/>
    <mergeCell ref="N63:P63"/>
    <mergeCell ref="N96:P96"/>
    <mergeCell ref="N82:P82"/>
    <mergeCell ref="N69:P69"/>
    <mergeCell ref="N92:P92"/>
    <mergeCell ref="N94:P94"/>
    <mergeCell ref="N95:P95"/>
    <mergeCell ref="N71:P71"/>
    <mergeCell ref="N73:P73"/>
    <mergeCell ref="N65:P65"/>
    <mergeCell ref="N72:P72"/>
    <mergeCell ref="N106:P106"/>
    <mergeCell ref="N100:P100"/>
    <mergeCell ref="N91:P91"/>
    <mergeCell ref="N85:P85"/>
    <mergeCell ref="N102:P102"/>
    <mergeCell ref="N134:P134"/>
    <mergeCell ref="N131:P131"/>
    <mergeCell ref="N129:P129"/>
    <mergeCell ref="L128:M128"/>
    <mergeCell ref="L127:M127"/>
    <mergeCell ref="N127:P127"/>
    <mergeCell ref="G56:K56"/>
    <mergeCell ref="N90:P90"/>
    <mergeCell ref="L72:M72"/>
    <mergeCell ref="G91:M91"/>
    <mergeCell ref="N101:P101"/>
    <mergeCell ref="N76:P76"/>
    <mergeCell ref="N97:P97"/>
    <mergeCell ref="G90:M90"/>
    <mergeCell ref="N67:P67"/>
    <mergeCell ref="N98:P98"/>
    <mergeCell ref="N56:P56"/>
    <mergeCell ref="N357:P357"/>
    <mergeCell ref="N273:P273"/>
    <mergeCell ref="N120:P120"/>
    <mergeCell ref="N109:P109"/>
    <mergeCell ref="O99:P99"/>
    <mergeCell ref="N192:P192"/>
    <mergeCell ref="N176:P176"/>
    <mergeCell ref="N182:P182"/>
    <mergeCell ref="N103:P103"/>
    <mergeCell ref="N189:P189"/>
    <mergeCell ref="N243:P243"/>
    <mergeCell ref="N525:P525"/>
    <mergeCell ref="N475:P475"/>
    <mergeCell ref="N470:P470"/>
    <mergeCell ref="N443:P443"/>
    <mergeCell ref="N472:P472"/>
    <mergeCell ref="N469:P469"/>
    <mergeCell ref="N497:P497"/>
    <mergeCell ref="N513:P513"/>
    <mergeCell ref="N445:P445"/>
    <mergeCell ref="N460:P460"/>
    <mergeCell ref="N423:P423"/>
    <mergeCell ref="N496:P496"/>
    <mergeCell ref="N495:P495"/>
    <mergeCell ref="N419:P419"/>
    <mergeCell ref="N481:P481"/>
    <mergeCell ref="N424:P424"/>
    <mergeCell ref="N462:P462"/>
    <mergeCell ref="N464:P464"/>
    <mergeCell ref="N442:P442"/>
    <mergeCell ref="N619:P619"/>
    <mergeCell ref="N609:P609"/>
    <mergeCell ref="N616:P616"/>
    <mergeCell ref="N611:P611"/>
    <mergeCell ref="N612:P612"/>
    <mergeCell ref="N540:P540"/>
    <mergeCell ref="N571:P571"/>
    <mergeCell ref="N550:P550"/>
    <mergeCell ref="N574:P574"/>
    <mergeCell ref="N559:P559"/>
    <mergeCell ref="N589:P589"/>
    <mergeCell ref="N578:P578"/>
    <mergeCell ref="N585:P585"/>
    <mergeCell ref="N572:P572"/>
    <mergeCell ref="N581:P581"/>
    <mergeCell ref="N587:P587"/>
    <mergeCell ref="N624:P624"/>
    <mergeCell ref="N610:P610"/>
    <mergeCell ref="N620:P620"/>
    <mergeCell ref="N621:P621"/>
    <mergeCell ref="N622:P622"/>
    <mergeCell ref="N623:P623"/>
    <mergeCell ref="N617:P617"/>
    <mergeCell ref="N615:P615"/>
    <mergeCell ref="N613:P613"/>
    <mergeCell ref="N618:P618"/>
    <mergeCell ref="N614:P614"/>
    <mergeCell ref="N509:P509"/>
    <mergeCell ref="N521:P521"/>
    <mergeCell ref="N528:P528"/>
    <mergeCell ref="N544:P544"/>
    <mergeCell ref="N552:P552"/>
    <mergeCell ref="N563:P563"/>
    <mergeCell ref="N598:P598"/>
    <mergeCell ref="N580:P580"/>
    <mergeCell ref="N582:P582"/>
    <mergeCell ref="O3:P3"/>
    <mergeCell ref="N203:P203"/>
    <mergeCell ref="N111:P111"/>
    <mergeCell ref="N532:P532"/>
    <mergeCell ref="N216:P216"/>
    <mergeCell ref="N190:P190"/>
    <mergeCell ref="N255:P255"/>
    <mergeCell ref="N264:P264"/>
    <mergeCell ref="N441:P441"/>
    <mergeCell ref="N491:P491"/>
    <mergeCell ref="N548:P548"/>
    <mergeCell ref="N226:P226"/>
    <mergeCell ref="G211:K211"/>
    <mergeCell ref="N214:P214"/>
    <mergeCell ref="N222:P222"/>
    <mergeCell ref="G220:J220"/>
    <mergeCell ref="N218:P218"/>
    <mergeCell ref="N225:P225"/>
    <mergeCell ref="N221:P221"/>
    <mergeCell ref="N534:P534"/>
    <mergeCell ref="N17:P17"/>
    <mergeCell ref="N32:P32"/>
    <mergeCell ref="N186:P186"/>
    <mergeCell ref="G132:M132"/>
    <mergeCell ref="N146:P146"/>
    <mergeCell ref="N132:P132"/>
    <mergeCell ref="N154:P154"/>
    <mergeCell ref="N177:P177"/>
    <mergeCell ref="N156:P156"/>
    <mergeCell ref="N149:P149"/>
    <mergeCell ref="G293:K293"/>
    <mergeCell ref="G303:M303"/>
    <mergeCell ref="N287:P287"/>
    <mergeCell ref="G173:L173"/>
    <mergeCell ref="N269:P269"/>
    <mergeCell ref="N261:P261"/>
    <mergeCell ref="N268:P268"/>
    <mergeCell ref="N280:P280"/>
    <mergeCell ref="N191:P191"/>
    <mergeCell ref="G297:M297"/>
    <mergeCell ref="G360:H360"/>
    <mergeCell ref="G299:M299"/>
    <mergeCell ref="G361:H361"/>
    <mergeCell ref="G383:H383"/>
    <mergeCell ref="G396:H396"/>
    <mergeCell ref="G426:H426"/>
    <mergeCell ref="G395:H395"/>
    <mergeCell ref="L367:M367"/>
    <mergeCell ref="L313:M313"/>
    <mergeCell ref="G384:H384"/>
    <mergeCell ref="G448:H448"/>
    <mergeCell ref="L419:M419"/>
    <mergeCell ref="L424:M424"/>
    <mergeCell ref="G407:H407"/>
    <mergeCell ref="G411:H411"/>
    <mergeCell ref="G449:H449"/>
    <mergeCell ref="L423:M423"/>
    <mergeCell ref="G414:H414"/>
    <mergeCell ref="G415:H415"/>
    <mergeCell ref="G413:M413"/>
    <mergeCell ref="G302:M302"/>
    <mergeCell ref="N300:P300"/>
    <mergeCell ref="N293:P293"/>
    <mergeCell ref="G300:M300"/>
    <mergeCell ref="N304:P304"/>
    <mergeCell ref="N297:P297"/>
    <mergeCell ref="G298:M298"/>
    <mergeCell ref="N294:P294"/>
    <mergeCell ref="G301:M301"/>
    <mergeCell ref="N296:P296"/>
    <mergeCell ref="G246:H246"/>
    <mergeCell ref="G250:H250"/>
    <mergeCell ref="G263:M263"/>
    <mergeCell ref="L258:M258"/>
    <mergeCell ref="L259:M259"/>
    <mergeCell ref="M249:P249"/>
    <mergeCell ref="N247:P247"/>
    <mergeCell ref="N257:P257"/>
    <mergeCell ref="N253:P253"/>
    <mergeCell ref="N250:P250"/>
    <mergeCell ref="N19:P19"/>
    <mergeCell ref="N31:P31"/>
    <mergeCell ref="N26:P26"/>
    <mergeCell ref="N22:P22"/>
    <mergeCell ref="N23:P23"/>
    <mergeCell ref="N21:P21"/>
    <mergeCell ref="N29:P29"/>
    <mergeCell ref="N174:P174"/>
    <mergeCell ref="N173:P173"/>
    <mergeCell ref="G170:L170"/>
    <mergeCell ref="G167:L167"/>
    <mergeCell ref="N167:P167"/>
    <mergeCell ref="N172:P172"/>
    <mergeCell ref="G168:L168"/>
    <mergeCell ref="N166:P166"/>
    <mergeCell ref="G172:M172"/>
    <mergeCell ref="G169:L169"/>
    <mergeCell ref="G171:M171"/>
    <mergeCell ref="L240:M240"/>
    <mergeCell ref="N207:P207"/>
    <mergeCell ref="N234:P234"/>
    <mergeCell ref="N237:P237"/>
    <mergeCell ref="K220:M220"/>
    <mergeCell ref="K235:M235"/>
    <mergeCell ref="G235:I235"/>
    <mergeCell ref="N355:P355"/>
    <mergeCell ref="N353:P353"/>
    <mergeCell ref="N309:P309"/>
    <mergeCell ref="N338:P338"/>
    <mergeCell ref="L327:M327"/>
    <mergeCell ref="G245:H245"/>
    <mergeCell ref="K250:L250"/>
    <mergeCell ref="G269:K269"/>
    <mergeCell ref="L251:M251"/>
    <mergeCell ref="G304:M304"/>
    <mergeCell ref="G309:L309"/>
    <mergeCell ref="O331:P331"/>
    <mergeCell ref="G310:L310"/>
    <mergeCell ref="G316:M316"/>
    <mergeCell ref="N318:P318"/>
    <mergeCell ref="N313:P313"/>
    <mergeCell ref="N328:P328"/>
    <mergeCell ref="N310:P310"/>
    <mergeCell ref="N311:P311"/>
    <mergeCell ref="N251:P251"/>
    <mergeCell ref="L252:M252"/>
    <mergeCell ref="N252:P252"/>
    <mergeCell ref="G272:K272"/>
    <mergeCell ref="G273:K273"/>
    <mergeCell ref="N277:P277"/>
    <mergeCell ref="G270:K270"/>
    <mergeCell ref="G578:J578"/>
    <mergeCell ref="G271:K271"/>
    <mergeCell ref="N282:P282"/>
    <mergeCell ref="N275:P275"/>
    <mergeCell ref="G285:J285"/>
    <mergeCell ref="G295:I295"/>
    <mergeCell ref="N281:P281"/>
    <mergeCell ref="N274:P274"/>
    <mergeCell ref="G294:I294"/>
    <mergeCell ref="N278:P278"/>
    <mergeCell ref="A1:P1"/>
    <mergeCell ref="A2:P2"/>
    <mergeCell ref="L33:M33"/>
    <mergeCell ref="L34:M34"/>
    <mergeCell ref="N235:P235"/>
    <mergeCell ref="N241:P241"/>
    <mergeCell ref="N213:P213"/>
    <mergeCell ref="G210:K210"/>
    <mergeCell ref="G224:J224"/>
    <mergeCell ref="G208:J208"/>
    <mergeCell ref="N312:P312"/>
    <mergeCell ref="N321:P321"/>
    <mergeCell ref="N327:P327"/>
    <mergeCell ref="N299:P299"/>
    <mergeCell ref="O323:P323"/>
    <mergeCell ref="N324:P324"/>
    <mergeCell ref="N305:P305"/>
    <mergeCell ref="N285:P285"/>
    <mergeCell ref="N337:P337"/>
    <mergeCell ref="N279:P279"/>
    <mergeCell ref="G292:K292"/>
    <mergeCell ref="N291:P291"/>
    <mergeCell ref="N347:P347"/>
    <mergeCell ref="G312:L312"/>
    <mergeCell ref="G296:I296"/>
    <mergeCell ref="O332:P332"/>
    <mergeCell ref="L321:M321"/>
  </mergeCells>
  <printOptions horizontalCentered="1"/>
  <pageMargins left="0.2755905511811024" right="0.15748031496062992" top="0.6692913385826772" bottom="0.3937007874015748" header="0.5118110236220472" footer="0.2362204724409449"/>
  <pageSetup fitToHeight="999" horizontalDpi="600" verticalDpi="600" orientation="landscape" paperSize="9" scale="72" r:id="rId1"/>
  <headerFooter alignWithMargins="0">
    <oddFooter>&amp;C&amp;P쪽</oddFooter>
  </headerFooter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김호균</cp:lastModifiedBy>
  <cp:lastPrinted>2018-02-06T07:18:47Z</cp:lastPrinted>
  <dcterms:created xsi:type="dcterms:W3CDTF">2002-05-14T00:41:45Z</dcterms:created>
  <dcterms:modified xsi:type="dcterms:W3CDTF">2018-02-06T07:18:48Z</dcterms:modified>
  <cp:category/>
  <cp:version/>
  <cp:contentType/>
  <cp:contentStatus/>
</cp:coreProperties>
</file>